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thiaarreola/Downloads/"/>
    </mc:Choice>
  </mc:AlternateContent>
  <xr:revisionPtr revIDLastSave="0" documentId="13_ncr:1_{E59BCBFF-8085-5143-805E-FE4874879FB4}" xr6:coauthVersionLast="47" xr6:coauthVersionMax="47" xr10:uidLastSave="{00000000-0000-0000-0000-000000000000}"/>
  <bookViews>
    <workbookView xWindow="12700" yWindow="1720" windowWidth="16100" windowHeight="9660" activeTab="4" xr2:uid="{00000000-000D-0000-FFFF-FFFF00000000}"/>
  </bookViews>
  <sheets>
    <sheet name="1 Assumptions" sheetId="2" r:id="rId1"/>
    <sheet name=" 2 Budget Areas" sheetId="3" r:id="rId2"/>
    <sheet name="3 Budget PnL" sheetId="4" r:id="rId3"/>
    <sheet name="4 Cash 13Wk" sheetId="5" r:id="rId4"/>
    <sheet name="5 Ejecución Diari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6" l="1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2" i="6"/>
  <c r="P2" i="6"/>
  <c r="M2" i="6"/>
  <c r="M3" i="6"/>
  <c r="J3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2" i="6"/>
  <c r="K3" i="6"/>
  <c r="K4" i="6"/>
  <c r="K5" i="6"/>
  <c r="K6" i="6"/>
  <c r="M4" i="6" s="1"/>
  <c r="O4" i="6" s="1"/>
  <c r="K7" i="6"/>
  <c r="K8" i="6"/>
  <c r="K9" i="6"/>
  <c r="K10" i="6"/>
  <c r="M10" i="6" s="1"/>
  <c r="K11" i="6"/>
  <c r="K12" i="6"/>
  <c r="K13" i="6"/>
  <c r="K14" i="6"/>
  <c r="M14" i="6" s="1"/>
  <c r="K15" i="6"/>
  <c r="K16" i="6"/>
  <c r="K17" i="6"/>
  <c r="K18" i="6"/>
  <c r="M18" i="6" s="1"/>
  <c r="K19" i="6"/>
  <c r="K20" i="6"/>
  <c r="K21" i="6"/>
  <c r="K22" i="6"/>
  <c r="M22" i="6" s="1"/>
  <c r="K23" i="6"/>
  <c r="K24" i="6"/>
  <c r="K25" i="6"/>
  <c r="K26" i="6"/>
  <c r="M26" i="6" s="1"/>
  <c r="K27" i="6"/>
  <c r="K28" i="6"/>
  <c r="K29" i="6"/>
  <c r="K30" i="6"/>
  <c r="M30" i="6" s="1"/>
  <c r="K31" i="6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M7" i="6"/>
  <c r="O7" i="6" s="1"/>
  <c r="M11" i="6"/>
  <c r="O11" i="6" s="1"/>
  <c r="M12" i="6"/>
  <c r="O12" i="6" s="1"/>
  <c r="M13" i="6"/>
  <c r="O13" i="6" s="1"/>
  <c r="M15" i="6"/>
  <c r="O15" i="6" s="1"/>
  <c r="M16" i="6"/>
  <c r="O16" i="6" s="1"/>
  <c r="M17" i="6"/>
  <c r="O17" i="6" s="1"/>
  <c r="M19" i="6"/>
  <c r="O19" i="6" s="1"/>
  <c r="M20" i="6"/>
  <c r="O20" i="6" s="1"/>
  <c r="M21" i="6"/>
  <c r="O21" i="6" s="1"/>
  <c r="M23" i="6"/>
  <c r="O23" i="6" s="1"/>
  <c r="M24" i="6"/>
  <c r="O24" i="6" s="1"/>
  <c r="M25" i="6"/>
  <c r="O25" i="6" s="1"/>
  <c r="M27" i="6"/>
  <c r="O27" i="6" s="1"/>
  <c r="M28" i="6"/>
  <c r="O28" i="6" s="1"/>
  <c r="M29" i="6"/>
  <c r="O29" i="6" s="1"/>
  <c r="M31" i="6"/>
  <c r="O31" i="6" s="1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2" i="6"/>
  <c r="K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2" i="6"/>
  <c r="I6" i="5"/>
  <c r="I10" i="5"/>
  <c r="I14" i="5"/>
  <c r="H3" i="5"/>
  <c r="I3" i="5" s="1"/>
  <c r="H4" i="5"/>
  <c r="I4" i="5" s="1"/>
  <c r="H5" i="5"/>
  <c r="I5" i="5" s="1"/>
  <c r="H6" i="5"/>
  <c r="H7" i="5"/>
  <c r="I7" i="5" s="1"/>
  <c r="H8" i="5"/>
  <c r="I8" i="5" s="1"/>
  <c r="H9" i="5"/>
  <c r="I9" i="5" s="1"/>
  <c r="H10" i="5"/>
  <c r="H11" i="5"/>
  <c r="I11" i="5" s="1"/>
  <c r="H12" i="5"/>
  <c r="I12" i="5" s="1"/>
  <c r="H13" i="5"/>
  <c r="I13" i="5" s="1"/>
  <c r="H14" i="5"/>
  <c r="H2" i="5"/>
  <c r="I2" i="5" s="1"/>
  <c r="C6" i="4"/>
  <c r="D6" i="4"/>
  <c r="E6" i="4"/>
  <c r="N6" i="4" s="1"/>
  <c r="F6" i="4"/>
  <c r="G6" i="4"/>
  <c r="H6" i="4"/>
  <c r="I6" i="4"/>
  <c r="J6" i="4"/>
  <c r="K6" i="4"/>
  <c r="L6" i="4"/>
  <c r="M6" i="4"/>
  <c r="B6" i="4"/>
  <c r="C5" i="4"/>
  <c r="D5" i="4"/>
  <c r="E5" i="4"/>
  <c r="F5" i="4"/>
  <c r="G5" i="4"/>
  <c r="H5" i="4"/>
  <c r="I5" i="4"/>
  <c r="J5" i="4"/>
  <c r="K5" i="4"/>
  <c r="L5" i="4"/>
  <c r="M5" i="4"/>
  <c r="B5" i="4"/>
  <c r="C4" i="4"/>
  <c r="D4" i="4"/>
  <c r="E4" i="4"/>
  <c r="F4" i="4"/>
  <c r="G4" i="4"/>
  <c r="H4" i="4"/>
  <c r="I4" i="4"/>
  <c r="J4" i="4"/>
  <c r="K4" i="4"/>
  <c r="L4" i="4"/>
  <c r="M4" i="4"/>
  <c r="B4" i="4"/>
  <c r="C3" i="4"/>
  <c r="D3" i="4"/>
  <c r="N3" i="4" s="1"/>
  <c r="E3" i="4"/>
  <c r="F3" i="4"/>
  <c r="G3" i="4"/>
  <c r="H3" i="4"/>
  <c r="I3" i="4"/>
  <c r="J3" i="4"/>
  <c r="K3" i="4"/>
  <c r="L3" i="4"/>
  <c r="M3" i="4"/>
  <c r="B3" i="4"/>
  <c r="N4" i="4"/>
  <c r="N2" i="4"/>
  <c r="C2" i="4"/>
  <c r="D2" i="4"/>
  <c r="E2" i="4"/>
  <c r="F2" i="4"/>
  <c r="G2" i="4"/>
  <c r="H2" i="4"/>
  <c r="I2" i="4"/>
  <c r="J2" i="4"/>
  <c r="K2" i="4"/>
  <c r="L2" i="4"/>
  <c r="M2" i="4"/>
  <c r="B2" i="4"/>
  <c r="D6" i="3"/>
  <c r="E6" i="3"/>
  <c r="F6" i="3"/>
  <c r="G6" i="3"/>
  <c r="H6" i="3"/>
  <c r="I6" i="3"/>
  <c r="J6" i="3"/>
  <c r="K6" i="3"/>
  <c r="L6" i="3"/>
  <c r="M6" i="3"/>
  <c r="N6" i="3"/>
  <c r="C6" i="3"/>
  <c r="D4" i="3"/>
  <c r="E4" i="3"/>
  <c r="F4" i="3"/>
  <c r="G4" i="3"/>
  <c r="H4" i="3"/>
  <c r="I4" i="3"/>
  <c r="J4" i="3"/>
  <c r="K4" i="3"/>
  <c r="L4" i="3"/>
  <c r="M4" i="3"/>
  <c r="N4" i="3"/>
  <c r="C4" i="3"/>
  <c r="R2" i="6" l="1"/>
  <c r="O3" i="6"/>
  <c r="O2" i="6"/>
  <c r="O30" i="6"/>
  <c r="O26" i="6"/>
  <c r="O22" i="6"/>
  <c r="O18" i="6"/>
  <c r="O14" i="6"/>
  <c r="O10" i="6"/>
  <c r="M6" i="6"/>
  <c r="O6" i="6" s="1"/>
  <c r="M9" i="6"/>
  <c r="O9" i="6" s="1"/>
  <c r="M5" i="6"/>
  <c r="O5" i="6" s="1"/>
  <c r="M8" i="6"/>
  <c r="O8" i="6" s="1"/>
  <c r="N5" i="4"/>
</calcChain>
</file>

<file path=xl/sharedStrings.xml><?xml version="1.0" encoding="utf-8"?>
<sst xmlns="http://schemas.openxmlformats.org/spreadsheetml/2006/main" count="195" uniqueCount="94">
  <si>
    <t>Concepto</t>
  </si>
  <si>
    <t>INPUT</t>
  </si>
  <si>
    <t>IVA (%)</t>
  </si>
  <si>
    <t>ISR efectivo sobre utilidad (%)</t>
  </si>
  <si>
    <t>Plazo de cobro ventas Tiendas (días)</t>
  </si>
  <si>
    <t>Plazo de cobro ventas E-commerce (días)</t>
  </si>
  <si>
    <t>Plazo de pago a proveedores (días)</t>
  </si>
  <si>
    <t>% Costo de Ventas sobre Ventas</t>
  </si>
  <si>
    <t>% Marketing sobre Ventas (gasto)</t>
  </si>
  <si>
    <t>Renta mensual por tienda (MXN)</t>
  </si>
  <si>
    <t>N° de tiendas</t>
  </si>
  <si>
    <t>Nómina mensual RRHH (MXN)</t>
  </si>
  <si>
    <t>G&amp;A mensual (MXN)</t>
  </si>
  <si>
    <t>Área</t>
  </si>
  <si>
    <t>Jan-2025</t>
  </si>
  <si>
    <t>Feb-2025</t>
  </si>
  <si>
    <t>Mar-2025</t>
  </si>
  <si>
    <t>Apr-2025</t>
  </si>
  <si>
    <t>May-2025</t>
  </si>
  <si>
    <t>Jun-2025</t>
  </si>
  <si>
    <t>Jul-2025</t>
  </si>
  <si>
    <t>Aug-2025</t>
  </si>
  <si>
    <t>Sep-2025</t>
  </si>
  <si>
    <t>Oct-2025</t>
  </si>
  <si>
    <t>Nov-2025</t>
  </si>
  <si>
    <t>Dec-2025</t>
  </si>
  <si>
    <t>Tiendas (Retail)</t>
  </si>
  <si>
    <t>E-commerce</t>
  </si>
  <si>
    <t>Marketing</t>
  </si>
  <si>
    <t>Operaciones/Logística</t>
  </si>
  <si>
    <t>Compras/Merch</t>
  </si>
  <si>
    <t>RRHH</t>
  </si>
  <si>
    <t>G&amp;A</t>
  </si>
  <si>
    <t>Ventas</t>
  </si>
  <si>
    <t>Gasto</t>
  </si>
  <si>
    <t>COGS</t>
  </si>
  <si>
    <t>Nómina</t>
  </si>
  <si>
    <t>Rubro</t>
  </si>
  <si>
    <t>Total</t>
  </si>
  <si>
    <t>Ingresos</t>
  </si>
  <si>
    <t>Costo de Ventas (COGS)</t>
  </si>
  <si>
    <t>Utilidad Bruta</t>
  </si>
  <si>
    <t>Gastos Operativos (incl. Nómina)</t>
  </si>
  <si>
    <t>EBIT</t>
  </si>
  <si>
    <t>Semana</t>
  </si>
  <si>
    <t>Cobros Tiendas</t>
  </si>
  <si>
    <t>Cobros E-commerce</t>
  </si>
  <si>
    <t>Entradas Total</t>
  </si>
  <si>
    <t>Pago Proveedores (COGS)</t>
  </si>
  <si>
    <t>OPEX (Gastos + Nómina)</t>
  </si>
  <si>
    <t>Egresos Total</t>
  </si>
  <si>
    <t>Saldo de Caja (Fin de Semana)</t>
  </si>
  <si>
    <t>W1 08-Sep</t>
  </si>
  <si>
    <t>W2 15-Sep</t>
  </si>
  <si>
    <t>W3 22-Sep</t>
  </si>
  <si>
    <t>W4 29-Sep</t>
  </si>
  <si>
    <t>W5 06-Oct</t>
  </si>
  <si>
    <t>W6 13-Oct</t>
  </si>
  <si>
    <t>W7 20-Oct</t>
  </si>
  <si>
    <t>W8 27-Oct</t>
  </si>
  <si>
    <t>W9 03-Nov</t>
  </si>
  <si>
    <t>W10 10-Nov</t>
  </si>
  <si>
    <t>W11 17-Nov</t>
  </si>
  <si>
    <t>W12 24-Nov</t>
  </si>
  <si>
    <t>W13 01-Dec</t>
  </si>
  <si>
    <t>Fecha</t>
  </si>
  <si>
    <t>Día</t>
  </si>
  <si>
    <t>Proveedor/Concepto</t>
  </si>
  <si>
    <t>Tipo</t>
  </si>
  <si>
    <t>Monto (MXN) - INPUT</t>
  </si>
  <si>
    <t>Aprobado (Sí/No)</t>
  </si>
  <si>
    <t>Clasificación Presupuestal (Área)</t>
  </si>
  <si>
    <t>Notas</t>
  </si>
  <si>
    <t>Acumulado Mes (MXN)</t>
  </si>
  <si>
    <t>Mon</t>
  </si>
  <si>
    <t>Tue</t>
  </si>
  <si>
    <t>Wed</t>
  </si>
  <si>
    <t>Thu</t>
  </si>
  <si>
    <t>Fri</t>
  </si>
  <si>
    <t>Sat</t>
  </si>
  <si>
    <t>Sun</t>
  </si>
  <si>
    <t>Egreso</t>
  </si>
  <si>
    <t>LunesSemana</t>
  </si>
  <si>
    <t>GastoSemReal</t>
  </si>
  <si>
    <t># Semana</t>
  </si>
  <si>
    <t>Variación Semanal</t>
  </si>
  <si>
    <t>Plan Semanal OPEX</t>
  </si>
  <si>
    <t>Inicio de Semana</t>
  </si>
  <si>
    <t>Tik Tok</t>
  </si>
  <si>
    <t>Sí</t>
  </si>
  <si>
    <t>Redes Sociales</t>
  </si>
  <si>
    <t>IngresoSemReal</t>
  </si>
  <si>
    <t>Plan Semanal Ingreso</t>
  </si>
  <si>
    <t>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</si>
</sst>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#,##0"/>
    <numFmt numFmtId="165" formatCode="yyyy\-mm\-dd"/>
    <numFmt numFmtId="173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14" fontId="0" fillId="0" borderId="0" xfId="0" applyNumberFormat="1"/>
    <xf numFmtId="2" fontId="0" fillId="0" borderId="0" xfId="0" applyNumberFormat="1"/>
    <xf numFmtId="173" fontId="0" fillId="0" borderId="0" xfId="0" applyNumberFormat="1"/>
    <xf numFmtId="0" fontId="1" fillId="2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5">
    <dxf>
      <fill>
        <patternFill>
          <bgColor rgb="FFFFE699"/>
        </patternFill>
      </fill>
    </dxf>
    <dxf>
      <fill>
        <patternFill>
          <bgColor rgb="FFC6E0B4"/>
        </patternFill>
      </fill>
    </dxf>
    <dxf>
      <fill>
        <patternFill>
          <bgColor rgb="FFF8CBAD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7" sqref="B7"/>
    </sheetView>
  </sheetViews>
  <sheetFormatPr baseColWidth="10" defaultColWidth="8.83203125" defaultRowHeight="15" x14ac:dyDescent="0.2"/>
  <cols>
    <col min="1" max="1" width="45.6640625" customWidth="1"/>
    <col min="2" max="2" width="22.6640625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t="s">
        <v>2</v>
      </c>
      <c r="B2">
        <v>16</v>
      </c>
    </row>
    <row r="3" spans="1:2" x14ac:dyDescent="0.2">
      <c r="A3" t="s">
        <v>3</v>
      </c>
      <c r="B3">
        <v>5</v>
      </c>
    </row>
    <row r="4" spans="1:2" x14ac:dyDescent="0.2">
      <c r="A4" t="s">
        <v>4</v>
      </c>
      <c r="B4">
        <v>0</v>
      </c>
    </row>
    <row r="5" spans="1:2" x14ac:dyDescent="0.2">
      <c r="A5" t="s">
        <v>5</v>
      </c>
      <c r="B5">
        <v>3</v>
      </c>
    </row>
    <row r="6" spans="1:2" x14ac:dyDescent="0.2">
      <c r="A6" t="s">
        <v>6</v>
      </c>
      <c r="B6">
        <v>45</v>
      </c>
    </row>
    <row r="7" spans="1:2" x14ac:dyDescent="0.2">
      <c r="A7" t="s">
        <v>7</v>
      </c>
      <c r="B7" s="4">
        <v>0.57999999999999996</v>
      </c>
    </row>
    <row r="8" spans="1:2" x14ac:dyDescent="0.2">
      <c r="A8" t="s">
        <v>8</v>
      </c>
      <c r="B8" s="4">
        <v>0.06</v>
      </c>
    </row>
    <row r="9" spans="1:2" x14ac:dyDescent="0.2">
      <c r="A9" t="s">
        <v>9</v>
      </c>
      <c r="B9">
        <v>200000</v>
      </c>
    </row>
    <row r="10" spans="1:2" x14ac:dyDescent="0.2">
      <c r="A10" t="s">
        <v>10</v>
      </c>
      <c r="B10">
        <v>20</v>
      </c>
    </row>
    <row r="11" spans="1:2" x14ac:dyDescent="0.2">
      <c r="A11" t="s">
        <v>11</v>
      </c>
      <c r="B11">
        <v>1200000</v>
      </c>
    </row>
    <row r="12" spans="1:2" x14ac:dyDescent="0.2">
      <c r="A12" t="s">
        <v>12</v>
      </c>
      <c r="B12">
        <v>900000</v>
      </c>
    </row>
  </sheetData>
  <conditionalFormatting sqref="B2:B12">
    <cfRule type="notContainsBlanks" dxfId="4" priority="1">
      <formula>LEN(TRIM(B2))&gt;0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zoomScale="13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6" sqref="C6:N6"/>
    </sheetView>
  </sheetViews>
  <sheetFormatPr baseColWidth="10" defaultColWidth="8.83203125" defaultRowHeight="15" x14ac:dyDescent="0.2"/>
  <cols>
    <col min="1" max="1" width="22.6640625" customWidth="1"/>
    <col min="2" max="2" width="16.6640625" customWidth="1"/>
    <col min="3" max="14" width="14.6640625" customWidth="1"/>
  </cols>
  <sheetData>
    <row r="1" spans="1:14" x14ac:dyDescent="0.2">
      <c r="A1" s="1" t="s">
        <v>13</v>
      </c>
      <c r="B1" s="1" t="s">
        <v>0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</row>
    <row r="2" spans="1:14" x14ac:dyDescent="0.2">
      <c r="A2" t="s">
        <v>26</v>
      </c>
      <c r="B2" t="s">
        <v>33</v>
      </c>
      <c r="C2">
        <v>8001100</v>
      </c>
      <c r="D2">
        <v>7710500</v>
      </c>
      <c r="E2">
        <v>6883900</v>
      </c>
      <c r="F2">
        <v>7987100</v>
      </c>
      <c r="G2">
        <v>7621600</v>
      </c>
      <c r="H2">
        <v>7518900</v>
      </c>
      <c r="I2">
        <v>6482700</v>
      </c>
      <c r="J2">
        <v>7509100</v>
      </c>
      <c r="K2">
        <v>7759300</v>
      </c>
      <c r="L2">
        <v>7352100</v>
      </c>
      <c r="M2">
        <v>8635900</v>
      </c>
      <c r="N2">
        <v>9740100</v>
      </c>
    </row>
    <row r="3" spans="1:14" x14ac:dyDescent="0.2">
      <c r="A3" t="s">
        <v>27</v>
      </c>
      <c r="B3" t="s">
        <v>33</v>
      </c>
      <c r="C3">
        <v>3148300</v>
      </c>
      <c r="D3">
        <v>3353800</v>
      </c>
      <c r="E3">
        <v>3911400</v>
      </c>
      <c r="F3">
        <v>3215400</v>
      </c>
      <c r="G3">
        <v>3771400</v>
      </c>
      <c r="H3">
        <v>2549600</v>
      </c>
      <c r="I3">
        <v>2931400</v>
      </c>
      <c r="J3">
        <v>3648800</v>
      </c>
      <c r="K3">
        <v>3337600</v>
      </c>
      <c r="L3">
        <v>3016000</v>
      </c>
      <c r="M3">
        <v>3459100</v>
      </c>
      <c r="N3">
        <v>3190300</v>
      </c>
    </row>
    <row r="4" spans="1:14" x14ac:dyDescent="0.2">
      <c r="A4" t="s">
        <v>28</v>
      </c>
      <c r="B4" t="s">
        <v>34</v>
      </c>
      <c r="C4">
        <f>+C2*'1 Assumptions'!$B$8</f>
        <v>480066</v>
      </c>
      <c r="D4">
        <f>+D2*'1 Assumptions'!$B$8</f>
        <v>462630</v>
      </c>
      <c r="E4">
        <f>+E2*'1 Assumptions'!$B$8</f>
        <v>413034</v>
      </c>
      <c r="F4">
        <f>+F2*'1 Assumptions'!$B$8</f>
        <v>479226</v>
      </c>
      <c r="G4">
        <f>+G2*'1 Assumptions'!$B$8</f>
        <v>457296</v>
      </c>
      <c r="H4">
        <f>+H2*'1 Assumptions'!$B$8</f>
        <v>451134</v>
      </c>
      <c r="I4">
        <f>+I2*'1 Assumptions'!$B$8</f>
        <v>388962</v>
      </c>
      <c r="J4">
        <f>+J2*'1 Assumptions'!$B$8</f>
        <v>450546</v>
      </c>
      <c r="K4">
        <f>+K2*'1 Assumptions'!$B$8</f>
        <v>465558</v>
      </c>
      <c r="L4">
        <f>+L2*'1 Assumptions'!$B$8</f>
        <v>441126</v>
      </c>
      <c r="M4">
        <f>+M2*'1 Assumptions'!$B$8</f>
        <v>518154</v>
      </c>
      <c r="N4">
        <f>+N2*'1 Assumptions'!$B$8</f>
        <v>584406</v>
      </c>
    </row>
    <row r="5" spans="1:14" x14ac:dyDescent="0.2">
      <c r="A5" t="s">
        <v>29</v>
      </c>
      <c r="B5" t="s">
        <v>34</v>
      </c>
      <c r="C5">
        <v>1800000</v>
      </c>
      <c r="D5">
        <v>1800000</v>
      </c>
      <c r="E5">
        <v>1800000</v>
      </c>
      <c r="F5">
        <v>1800000</v>
      </c>
      <c r="G5">
        <v>1800000</v>
      </c>
      <c r="H5">
        <v>1800000</v>
      </c>
      <c r="I5">
        <v>1800000</v>
      </c>
      <c r="J5">
        <v>1800000</v>
      </c>
      <c r="K5">
        <v>1800000</v>
      </c>
      <c r="L5">
        <v>1800000</v>
      </c>
      <c r="M5">
        <v>1800000</v>
      </c>
      <c r="N5">
        <v>1800000</v>
      </c>
    </row>
    <row r="6" spans="1:14" x14ac:dyDescent="0.2">
      <c r="A6" t="s">
        <v>30</v>
      </c>
      <c r="B6" t="s">
        <v>35</v>
      </c>
      <c r="C6">
        <f>+C2*'1 Assumptions'!$B$7</f>
        <v>4640638</v>
      </c>
      <c r="D6">
        <f>+D2*'1 Assumptions'!$B$7</f>
        <v>4472090</v>
      </c>
      <c r="E6">
        <f>+E2*'1 Assumptions'!$B$7</f>
        <v>3992661.9999999995</v>
      </c>
      <c r="F6">
        <f>+F2*'1 Assumptions'!$B$7</f>
        <v>4632518</v>
      </c>
      <c r="G6">
        <f>+G2*'1 Assumptions'!$B$7</f>
        <v>4420528</v>
      </c>
      <c r="H6">
        <f>+H2*'1 Assumptions'!$B$7</f>
        <v>4360962</v>
      </c>
      <c r="I6">
        <f>+I2*'1 Assumptions'!$B$7</f>
        <v>3759965.9999999995</v>
      </c>
      <c r="J6">
        <f>+J2*'1 Assumptions'!$B$7</f>
        <v>4355278</v>
      </c>
      <c r="K6">
        <f>+K2*'1 Assumptions'!$B$7</f>
        <v>4500394</v>
      </c>
      <c r="L6">
        <f>+L2*'1 Assumptions'!$B$7</f>
        <v>4264218</v>
      </c>
      <c r="M6">
        <f>+M2*'1 Assumptions'!$B$7</f>
        <v>5008822</v>
      </c>
      <c r="N6">
        <f>+N2*'1 Assumptions'!$B$7</f>
        <v>5649258</v>
      </c>
    </row>
    <row r="7" spans="1:14" x14ac:dyDescent="0.2">
      <c r="A7" t="s">
        <v>31</v>
      </c>
      <c r="B7" t="s">
        <v>36</v>
      </c>
      <c r="C7">
        <v>1200000</v>
      </c>
      <c r="D7">
        <v>1200000</v>
      </c>
      <c r="E7">
        <v>1200000</v>
      </c>
      <c r="F7">
        <v>1200000</v>
      </c>
      <c r="G7">
        <v>1200000</v>
      </c>
      <c r="H7">
        <v>1200000</v>
      </c>
      <c r="I7">
        <v>1200000</v>
      </c>
      <c r="J7">
        <v>1200000</v>
      </c>
      <c r="K7">
        <v>1200000</v>
      </c>
      <c r="L7">
        <v>1200000</v>
      </c>
      <c r="M7">
        <v>1200000</v>
      </c>
      <c r="N7">
        <v>1200000</v>
      </c>
    </row>
    <row r="8" spans="1:14" x14ac:dyDescent="0.2">
      <c r="A8" t="s">
        <v>32</v>
      </c>
      <c r="B8" t="s">
        <v>34</v>
      </c>
      <c r="C8">
        <v>900000</v>
      </c>
      <c r="D8">
        <v>900000</v>
      </c>
      <c r="E8">
        <v>900000</v>
      </c>
      <c r="F8">
        <v>900000</v>
      </c>
      <c r="G8">
        <v>900000</v>
      </c>
      <c r="H8">
        <v>900000</v>
      </c>
      <c r="I8">
        <v>900000</v>
      </c>
      <c r="J8">
        <v>900000</v>
      </c>
      <c r="K8">
        <v>900000</v>
      </c>
      <c r="L8">
        <v>900000</v>
      </c>
      <c r="M8">
        <v>900000</v>
      </c>
      <c r="N8">
        <v>900000</v>
      </c>
    </row>
  </sheetData>
  <conditionalFormatting sqref="C2:N8">
    <cfRule type="notContainsBlanks" dxfId="3" priority="1">
      <formula>LEN(TRIM(C2))&gt;0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M12" sqref="M12"/>
    </sheetView>
  </sheetViews>
  <sheetFormatPr baseColWidth="10" defaultColWidth="8.83203125" defaultRowHeight="15" x14ac:dyDescent="0.2"/>
  <cols>
    <col min="1" max="1" width="36.6640625" customWidth="1"/>
    <col min="2" max="14" width="16.6640625" style="2" customWidth="1"/>
  </cols>
  <sheetData>
    <row r="1" spans="1:14" x14ac:dyDescent="0.2">
      <c r="A1" s="1" t="s">
        <v>37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38</v>
      </c>
    </row>
    <row r="2" spans="1:14" x14ac:dyDescent="0.2">
      <c r="A2" t="s">
        <v>39</v>
      </c>
      <c r="B2" s="2">
        <f>+' 2 Budget Areas'!C2+' 2 Budget Areas'!C3</f>
        <v>11149400</v>
      </c>
      <c r="C2" s="2">
        <f>+' 2 Budget Areas'!D2+' 2 Budget Areas'!D3</f>
        <v>11064300</v>
      </c>
      <c r="D2" s="2">
        <f>+' 2 Budget Areas'!E2+' 2 Budget Areas'!E3</f>
        <v>10795300</v>
      </c>
      <c r="E2" s="2">
        <f>+' 2 Budget Areas'!F2+' 2 Budget Areas'!F3</f>
        <v>11202500</v>
      </c>
      <c r="F2" s="2">
        <f>+' 2 Budget Areas'!G2+' 2 Budget Areas'!G3</f>
        <v>11393000</v>
      </c>
      <c r="G2" s="2">
        <f>+' 2 Budget Areas'!H2+' 2 Budget Areas'!H3</f>
        <v>10068500</v>
      </c>
      <c r="H2" s="2">
        <f>+' 2 Budget Areas'!I2+' 2 Budget Areas'!I3</f>
        <v>9414100</v>
      </c>
      <c r="I2" s="2">
        <f>+' 2 Budget Areas'!J2+' 2 Budget Areas'!J3</f>
        <v>11157900</v>
      </c>
      <c r="J2" s="2">
        <f>+' 2 Budget Areas'!K2+' 2 Budget Areas'!K3</f>
        <v>11096900</v>
      </c>
      <c r="K2" s="2">
        <f>+' 2 Budget Areas'!L2+' 2 Budget Areas'!L3</f>
        <v>10368100</v>
      </c>
      <c r="L2" s="2">
        <f>+' 2 Budget Areas'!M2+' 2 Budget Areas'!M3</f>
        <v>12095000</v>
      </c>
      <c r="M2" s="2">
        <f>+' 2 Budget Areas'!N2+' 2 Budget Areas'!N3</f>
        <v>12930400</v>
      </c>
      <c r="N2" s="2">
        <f>+SUM(B2:M2)</f>
        <v>132735400</v>
      </c>
    </row>
    <row r="3" spans="1:14" x14ac:dyDescent="0.2">
      <c r="A3" t="s">
        <v>40</v>
      </c>
      <c r="B3" s="2">
        <f>-' 2 Budget Areas'!C6</f>
        <v>-4640638</v>
      </c>
      <c r="C3" s="2">
        <f>-' 2 Budget Areas'!D6</f>
        <v>-4472090</v>
      </c>
      <c r="D3" s="2">
        <f>-' 2 Budget Areas'!E6</f>
        <v>-3992661.9999999995</v>
      </c>
      <c r="E3" s="2">
        <f>-' 2 Budget Areas'!F6</f>
        <v>-4632518</v>
      </c>
      <c r="F3" s="2">
        <f>-' 2 Budget Areas'!G6</f>
        <v>-4420528</v>
      </c>
      <c r="G3" s="2">
        <f>-' 2 Budget Areas'!H6</f>
        <v>-4360962</v>
      </c>
      <c r="H3" s="2">
        <f>-' 2 Budget Areas'!I6</f>
        <v>-3759965.9999999995</v>
      </c>
      <c r="I3" s="2">
        <f>-' 2 Budget Areas'!J6</f>
        <v>-4355278</v>
      </c>
      <c r="J3" s="2">
        <f>-' 2 Budget Areas'!K6</f>
        <v>-4500394</v>
      </c>
      <c r="K3" s="2">
        <f>-' 2 Budget Areas'!L6</f>
        <v>-4264218</v>
      </c>
      <c r="L3" s="2">
        <f>-' 2 Budget Areas'!M6</f>
        <v>-5008822</v>
      </c>
      <c r="M3" s="2">
        <f>-' 2 Budget Areas'!N6</f>
        <v>-5649258</v>
      </c>
      <c r="N3" s="2">
        <f t="shared" ref="N3:N6" si="0">+SUM(B3:M3)</f>
        <v>-54057334</v>
      </c>
    </row>
    <row r="4" spans="1:14" x14ac:dyDescent="0.2">
      <c r="A4" t="s">
        <v>41</v>
      </c>
      <c r="B4" s="2">
        <f>+B2+B3</f>
        <v>6508762</v>
      </c>
      <c r="C4" s="2">
        <f t="shared" ref="C4:M4" si="1">+C2+C3</f>
        <v>6592210</v>
      </c>
      <c r="D4" s="2">
        <f t="shared" si="1"/>
        <v>6802638</v>
      </c>
      <c r="E4" s="2">
        <f t="shared" si="1"/>
        <v>6569982</v>
      </c>
      <c r="F4" s="2">
        <f t="shared" si="1"/>
        <v>6972472</v>
      </c>
      <c r="G4" s="2">
        <f t="shared" si="1"/>
        <v>5707538</v>
      </c>
      <c r="H4" s="2">
        <f t="shared" si="1"/>
        <v>5654134</v>
      </c>
      <c r="I4" s="2">
        <f t="shared" si="1"/>
        <v>6802622</v>
      </c>
      <c r="J4" s="2">
        <f t="shared" si="1"/>
        <v>6596506</v>
      </c>
      <c r="K4" s="2">
        <f t="shared" si="1"/>
        <v>6103882</v>
      </c>
      <c r="L4" s="2">
        <f t="shared" si="1"/>
        <v>7086178</v>
      </c>
      <c r="M4" s="2">
        <f t="shared" si="1"/>
        <v>7281142</v>
      </c>
      <c r="N4" s="2">
        <f t="shared" si="0"/>
        <v>78678066</v>
      </c>
    </row>
    <row r="5" spans="1:14" x14ac:dyDescent="0.2">
      <c r="A5" t="s">
        <v>42</v>
      </c>
      <c r="B5" s="2">
        <f>-' 2 Budget Areas'!C4-' 2 Budget Areas'!C5-' 2 Budget Areas'!C7-' 2 Budget Areas'!C8</f>
        <v>-4380066</v>
      </c>
      <c r="C5" s="2">
        <f>-' 2 Budget Areas'!D4-' 2 Budget Areas'!D5-' 2 Budget Areas'!D7-' 2 Budget Areas'!D8</f>
        <v>-4362630</v>
      </c>
      <c r="D5" s="2">
        <f>-' 2 Budget Areas'!E4-' 2 Budget Areas'!E5-' 2 Budget Areas'!E7-' 2 Budget Areas'!E8</f>
        <v>-4313034</v>
      </c>
      <c r="E5" s="2">
        <f>-' 2 Budget Areas'!F4-' 2 Budget Areas'!F5-' 2 Budget Areas'!F7-' 2 Budget Areas'!F8</f>
        <v>-4379226</v>
      </c>
      <c r="F5" s="2">
        <f>-' 2 Budget Areas'!G4-' 2 Budget Areas'!G5-' 2 Budget Areas'!G7-' 2 Budget Areas'!G8</f>
        <v>-4357296</v>
      </c>
      <c r="G5" s="2">
        <f>-' 2 Budget Areas'!H4-' 2 Budget Areas'!H5-' 2 Budget Areas'!H7-' 2 Budget Areas'!H8</f>
        <v>-4351134</v>
      </c>
      <c r="H5" s="2">
        <f>-' 2 Budget Areas'!I4-' 2 Budget Areas'!I5-' 2 Budget Areas'!I7-' 2 Budget Areas'!I8</f>
        <v>-4288962</v>
      </c>
      <c r="I5" s="2">
        <f>-' 2 Budget Areas'!J4-' 2 Budget Areas'!J5-' 2 Budget Areas'!J7-' 2 Budget Areas'!J8</f>
        <v>-4350546</v>
      </c>
      <c r="J5" s="2">
        <f>-' 2 Budget Areas'!K4-' 2 Budget Areas'!K5-' 2 Budget Areas'!K7-' 2 Budget Areas'!K8</f>
        <v>-4365558</v>
      </c>
      <c r="K5" s="2">
        <f>-' 2 Budget Areas'!L4-' 2 Budget Areas'!L5-' 2 Budget Areas'!L7-' 2 Budget Areas'!L8</f>
        <v>-4341126</v>
      </c>
      <c r="L5" s="2">
        <f>-' 2 Budget Areas'!M4-' 2 Budget Areas'!M5-' 2 Budget Areas'!M7-' 2 Budget Areas'!M8</f>
        <v>-4418154</v>
      </c>
      <c r="M5" s="2">
        <f>-' 2 Budget Areas'!N4-' 2 Budget Areas'!N5-' 2 Budget Areas'!N7-' 2 Budget Areas'!N8</f>
        <v>-4484406</v>
      </c>
      <c r="N5" s="2">
        <f t="shared" si="0"/>
        <v>-52392138</v>
      </c>
    </row>
    <row r="6" spans="1:14" x14ac:dyDescent="0.2">
      <c r="A6" t="s">
        <v>43</v>
      </c>
      <c r="B6" s="2">
        <f>+B4-B5</f>
        <v>10888828</v>
      </c>
      <c r="C6" s="2">
        <f t="shared" ref="C6:M6" si="2">+C4-C5</f>
        <v>10954840</v>
      </c>
      <c r="D6" s="2">
        <f t="shared" si="2"/>
        <v>11115672</v>
      </c>
      <c r="E6" s="2">
        <f t="shared" si="2"/>
        <v>10949208</v>
      </c>
      <c r="F6" s="2">
        <f t="shared" si="2"/>
        <v>11329768</v>
      </c>
      <c r="G6" s="2">
        <f t="shared" si="2"/>
        <v>10058672</v>
      </c>
      <c r="H6" s="2">
        <f t="shared" si="2"/>
        <v>9943096</v>
      </c>
      <c r="I6" s="2">
        <f t="shared" si="2"/>
        <v>11153168</v>
      </c>
      <c r="J6" s="2">
        <f t="shared" si="2"/>
        <v>10962064</v>
      </c>
      <c r="K6" s="2">
        <f t="shared" si="2"/>
        <v>10445008</v>
      </c>
      <c r="L6" s="2">
        <f t="shared" si="2"/>
        <v>11504332</v>
      </c>
      <c r="M6" s="2">
        <f t="shared" si="2"/>
        <v>11765548</v>
      </c>
      <c r="N6" s="2">
        <f t="shared" si="0"/>
        <v>131070204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baseColWidth="10" defaultColWidth="8.83203125" defaultRowHeight="15" x14ac:dyDescent="0.2"/>
  <cols>
    <col min="1" max="1" width="12.6640625" customWidth="1"/>
    <col min="2" max="2" width="14.1640625" bestFit="1" customWidth="1"/>
    <col min="3" max="8" width="20.6640625" style="2" customWidth="1"/>
    <col min="9" max="9" width="23.83203125" bestFit="1" customWidth="1"/>
  </cols>
  <sheetData>
    <row r="1" spans="1:9" x14ac:dyDescent="0.2">
      <c r="A1" s="1" t="s">
        <v>44</v>
      </c>
      <c r="B1" s="1" t="s">
        <v>87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</row>
    <row r="2" spans="1:9" x14ac:dyDescent="0.2">
      <c r="A2" t="s">
        <v>52</v>
      </c>
      <c r="B2" s="5">
        <v>45901</v>
      </c>
      <c r="C2" s="2">
        <v>2562794</v>
      </c>
      <c r="D2" s="2">
        <v>770808</v>
      </c>
      <c r="E2" s="2">
        <v>3333602</v>
      </c>
      <c r="F2" s="2">
        <v>-1388799</v>
      </c>
      <c r="G2" s="2">
        <v>-1053967.083333333</v>
      </c>
      <c r="H2" s="2">
        <f>+SUM(F2:G2)</f>
        <v>-2442766.083333333</v>
      </c>
      <c r="I2" s="2">
        <f>+E2-H2</f>
        <v>5776368.083333333</v>
      </c>
    </row>
    <row r="3" spans="1:9" x14ac:dyDescent="0.2">
      <c r="A3" t="s">
        <v>53</v>
      </c>
      <c r="B3" s="5">
        <f>+B2+7</f>
        <v>45908</v>
      </c>
      <c r="C3" s="2">
        <v>2562794</v>
      </c>
      <c r="D3" s="2">
        <v>770808</v>
      </c>
      <c r="E3" s="2">
        <v>3333602</v>
      </c>
      <c r="F3" s="2">
        <v>-1388799</v>
      </c>
      <c r="G3" s="2">
        <v>-1053967.083333333</v>
      </c>
      <c r="H3" s="2">
        <f t="shared" ref="H3:H14" si="0">+SUM(F3:G3)</f>
        <v>-2442766.083333333</v>
      </c>
      <c r="I3" s="2">
        <f t="shared" ref="I3:I14" si="1">+E3-H3</f>
        <v>5776368.083333333</v>
      </c>
    </row>
    <row r="4" spans="1:9" x14ac:dyDescent="0.2">
      <c r="A4" t="s">
        <v>54</v>
      </c>
      <c r="B4" s="5">
        <f t="shared" ref="B4:B14" si="2">+B3+7</f>
        <v>45915</v>
      </c>
      <c r="C4" s="2">
        <v>2562794</v>
      </c>
      <c r="D4" s="2">
        <v>770808</v>
      </c>
      <c r="E4" s="2">
        <v>3333602</v>
      </c>
      <c r="F4" s="2">
        <v>-1620115</v>
      </c>
      <c r="G4" s="2">
        <v>-1053967.083333333</v>
      </c>
      <c r="H4" s="2">
        <f t="shared" si="0"/>
        <v>-2674082.083333333</v>
      </c>
      <c r="I4" s="2">
        <f t="shared" si="1"/>
        <v>6007684.083333333</v>
      </c>
    </row>
    <row r="5" spans="1:9" x14ac:dyDescent="0.2">
      <c r="A5" t="s">
        <v>55</v>
      </c>
      <c r="B5" s="5">
        <f t="shared" si="2"/>
        <v>45922</v>
      </c>
      <c r="C5" s="2">
        <v>2562794</v>
      </c>
      <c r="D5" s="2">
        <v>696536</v>
      </c>
      <c r="E5" s="2">
        <v>3259330</v>
      </c>
      <c r="F5" s="2">
        <v>-1620115</v>
      </c>
      <c r="G5" s="2">
        <v>-1053967.083333333</v>
      </c>
      <c r="H5" s="2">
        <f t="shared" si="0"/>
        <v>-2674082.083333333</v>
      </c>
      <c r="I5" s="2">
        <f t="shared" si="1"/>
        <v>5933412.083333333</v>
      </c>
    </row>
    <row r="6" spans="1:9" x14ac:dyDescent="0.2">
      <c r="A6" t="s">
        <v>56</v>
      </c>
      <c r="B6" s="5">
        <f t="shared" si="2"/>
        <v>45929</v>
      </c>
      <c r="C6" s="2">
        <v>2394480</v>
      </c>
      <c r="D6" s="2">
        <v>696536</v>
      </c>
      <c r="E6" s="2">
        <v>3091016</v>
      </c>
      <c r="F6" s="2">
        <v>-1620115</v>
      </c>
      <c r="G6" s="2">
        <v>-1053967.083333333</v>
      </c>
      <c r="H6" s="2">
        <f t="shared" si="0"/>
        <v>-2674082.083333333</v>
      </c>
      <c r="I6" s="2">
        <f t="shared" si="1"/>
        <v>5765098.083333333</v>
      </c>
    </row>
    <row r="7" spans="1:9" x14ac:dyDescent="0.2">
      <c r="A7" t="s">
        <v>57</v>
      </c>
      <c r="B7" s="5">
        <f t="shared" si="2"/>
        <v>45936</v>
      </c>
      <c r="C7" s="2">
        <v>2394480</v>
      </c>
      <c r="D7" s="2">
        <v>696536</v>
      </c>
      <c r="E7" s="2">
        <v>3091016</v>
      </c>
      <c r="F7" s="2">
        <v>-1620115</v>
      </c>
      <c r="G7" s="2">
        <v>-1053967.083333333</v>
      </c>
      <c r="H7" s="2">
        <f t="shared" si="0"/>
        <v>-2674082.083333333</v>
      </c>
      <c r="I7" s="2">
        <f t="shared" si="1"/>
        <v>5765098.083333333</v>
      </c>
    </row>
    <row r="8" spans="1:9" x14ac:dyDescent="0.2">
      <c r="A8" t="s">
        <v>58</v>
      </c>
      <c r="B8" s="5">
        <f t="shared" si="2"/>
        <v>45943</v>
      </c>
      <c r="C8" s="2">
        <v>2394480</v>
      </c>
      <c r="D8" s="2">
        <v>696536</v>
      </c>
      <c r="E8" s="2">
        <v>3091016</v>
      </c>
      <c r="F8" s="2">
        <v>-1732017</v>
      </c>
      <c r="G8" s="2">
        <v>-1053967.083333333</v>
      </c>
      <c r="H8" s="2">
        <f t="shared" si="0"/>
        <v>-2785984.083333333</v>
      </c>
      <c r="I8" s="2">
        <f t="shared" si="1"/>
        <v>5877000.083333333</v>
      </c>
    </row>
    <row r="9" spans="1:9" x14ac:dyDescent="0.2">
      <c r="A9" t="s">
        <v>59</v>
      </c>
      <c r="B9" s="5">
        <f t="shared" si="2"/>
        <v>45950</v>
      </c>
      <c r="C9" s="2">
        <v>2394480</v>
      </c>
      <c r="D9" s="2">
        <v>696536</v>
      </c>
      <c r="E9" s="2">
        <v>3091016</v>
      </c>
      <c r="F9" s="2">
        <v>-1732017</v>
      </c>
      <c r="G9" s="2">
        <v>-1053967.083333333</v>
      </c>
      <c r="H9" s="2">
        <f t="shared" si="0"/>
        <v>-2785984.083333333</v>
      </c>
      <c r="I9" s="2">
        <f t="shared" si="1"/>
        <v>5877000.083333333</v>
      </c>
    </row>
    <row r="10" spans="1:9" x14ac:dyDescent="0.2">
      <c r="A10" t="s">
        <v>60</v>
      </c>
      <c r="B10" s="5">
        <f t="shared" si="2"/>
        <v>45957</v>
      </c>
      <c r="C10" s="2">
        <v>2793303</v>
      </c>
      <c r="D10" s="2">
        <v>798868</v>
      </c>
      <c r="E10" s="2">
        <v>3592171</v>
      </c>
      <c r="F10" s="2">
        <v>-1732017</v>
      </c>
      <c r="G10" s="2">
        <v>-1053967.083333333</v>
      </c>
      <c r="H10" s="2">
        <f t="shared" si="0"/>
        <v>-2785984.083333333</v>
      </c>
      <c r="I10" s="2">
        <f t="shared" si="1"/>
        <v>6378155.083333333</v>
      </c>
    </row>
    <row r="11" spans="1:9" x14ac:dyDescent="0.2">
      <c r="A11" t="s">
        <v>61</v>
      </c>
      <c r="B11" s="5">
        <f t="shared" si="2"/>
        <v>45964</v>
      </c>
      <c r="C11" s="2">
        <v>2793303</v>
      </c>
      <c r="D11" s="2">
        <v>798868</v>
      </c>
      <c r="E11" s="2">
        <v>3592171</v>
      </c>
      <c r="F11" s="2">
        <v>-1732017</v>
      </c>
      <c r="G11" s="2">
        <v>-1053967.083333333</v>
      </c>
      <c r="H11" s="2">
        <f t="shared" si="0"/>
        <v>-2785984.083333333</v>
      </c>
      <c r="I11" s="2">
        <f t="shared" si="1"/>
        <v>6378155.083333333</v>
      </c>
    </row>
    <row r="12" spans="1:9" x14ac:dyDescent="0.2">
      <c r="A12" t="s">
        <v>62</v>
      </c>
      <c r="B12" s="5">
        <f t="shared" si="2"/>
        <v>45971</v>
      </c>
      <c r="C12" s="2">
        <v>2793303</v>
      </c>
      <c r="D12" s="2">
        <v>798868</v>
      </c>
      <c r="E12" s="2">
        <v>3592171</v>
      </c>
      <c r="F12" s="2">
        <v>-1493453</v>
      </c>
      <c r="G12" s="2">
        <v>-1053967.083333333</v>
      </c>
      <c r="H12" s="2">
        <f t="shared" si="0"/>
        <v>-2547420.083333333</v>
      </c>
      <c r="I12" s="2">
        <f t="shared" si="1"/>
        <v>6139591.083333333</v>
      </c>
    </row>
    <row r="13" spans="1:9" x14ac:dyDescent="0.2">
      <c r="A13" t="s">
        <v>63</v>
      </c>
      <c r="B13" s="5">
        <f t="shared" si="2"/>
        <v>45978</v>
      </c>
      <c r="C13" s="2">
        <v>2793303</v>
      </c>
      <c r="D13" s="2">
        <v>798868</v>
      </c>
      <c r="E13" s="2">
        <v>3592171</v>
      </c>
      <c r="F13" s="2">
        <v>-1493453</v>
      </c>
      <c r="G13" s="2">
        <v>-1053967.083333333</v>
      </c>
      <c r="H13" s="2">
        <f t="shared" si="0"/>
        <v>-2547420.083333333</v>
      </c>
      <c r="I13" s="2">
        <f t="shared" si="1"/>
        <v>6139591.083333333</v>
      </c>
    </row>
    <row r="14" spans="1:9" x14ac:dyDescent="0.2">
      <c r="A14" t="s">
        <v>64</v>
      </c>
      <c r="B14" s="5">
        <f t="shared" si="2"/>
        <v>45985</v>
      </c>
      <c r="C14" s="2">
        <v>2986236</v>
      </c>
      <c r="D14" s="2">
        <v>736790</v>
      </c>
      <c r="E14" s="2">
        <v>3723026</v>
      </c>
      <c r="F14" s="2">
        <v>-1493453</v>
      </c>
      <c r="G14" s="2">
        <v>-1053967.08333333</v>
      </c>
      <c r="H14" s="2">
        <f t="shared" si="0"/>
        <v>-2547420.0833333302</v>
      </c>
      <c r="I14" s="2">
        <f t="shared" si="1"/>
        <v>6270446.0833333302</v>
      </c>
    </row>
  </sheetData>
  <conditionalFormatting sqref="H2:H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" priority="3" operator="lessThan">
      <formula>0</formula>
    </cfRule>
  </conditionalFormatting>
  <conditionalFormatting sqref="H2:H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H2:H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31"/>
  <sheetViews>
    <sheetView tabSelected="1" topLeftCell="C1" workbookViewId="0">
      <pane ySplit="1" topLeftCell="A3" activePane="bottomLeft" state="frozen"/>
      <selection pane="bottomLeft" activeCell="W14" sqref="W14"/>
    </sheetView>
  </sheetViews>
  <sheetFormatPr baseColWidth="10" defaultColWidth="8.83203125" defaultRowHeight="15" x14ac:dyDescent="0.2"/>
  <cols>
    <col min="1" max="1" width="12.6640625" customWidth="1"/>
    <col min="2" max="2" width="6.6640625" customWidth="1"/>
    <col min="3" max="4" width="26.6640625" customWidth="1"/>
    <col min="5" max="5" width="10.6640625" customWidth="1"/>
    <col min="6" max="6" width="18.6640625" style="2" customWidth="1"/>
    <col min="7" max="9" width="28.6640625" customWidth="1"/>
    <col min="10" max="10" width="18.6640625" style="2" customWidth="1"/>
    <col min="11" max="11" width="11.6640625" bestFit="1" customWidth="1"/>
    <col min="12" max="12" width="9.6640625" bestFit="1" customWidth="1"/>
    <col min="13" max="13" width="12.1640625" bestFit="1" customWidth="1"/>
    <col min="14" max="14" width="15.6640625" bestFit="1" customWidth="1"/>
    <col min="15" max="15" width="15.33203125" bestFit="1" customWidth="1"/>
    <col min="16" max="16" width="13.5" bestFit="1" customWidth="1"/>
    <col min="17" max="17" width="17.5" bestFit="1" customWidth="1"/>
    <col min="18" max="18" width="15.33203125" bestFit="1" customWidth="1"/>
  </cols>
  <sheetData>
    <row r="1" spans="1:18 16384:16384" x14ac:dyDescent="0.2">
      <c r="A1" s="1" t="s">
        <v>65</v>
      </c>
      <c r="B1" s="1" t="s">
        <v>66</v>
      </c>
      <c r="C1" s="1" t="s">
        <v>13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73</v>
      </c>
      <c r="K1" s="1" t="s">
        <v>82</v>
      </c>
      <c r="L1" s="1" t="s">
        <v>84</v>
      </c>
      <c r="M1" s="8" t="s">
        <v>83</v>
      </c>
      <c r="N1" s="8" t="s">
        <v>86</v>
      </c>
      <c r="O1" s="8" t="s">
        <v>85</v>
      </c>
      <c r="P1" s="9" t="s">
        <v>91</v>
      </c>
      <c r="Q1" s="9" t="s">
        <v>92</v>
      </c>
      <c r="R1" s="9" t="s">
        <v>85</v>
      </c>
      <c r="XFD1" s="1" t="s">
        <v>82</v>
      </c>
    </row>
    <row r="2" spans="1:18 16384:16384" x14ac:dyDescent="0.2">
      <c r="A2" s="3">
        <v>45901</v>
      </c>
      <c r="B2" t="s">
        <v>74</v>
      </c>
      <c r="C2" t="s">
        <v>28</v>
      </c>
      <c r="D2" t="s">
        <v>88</v>
      </c>
      <c r="E2" t="s">
        <v>81</v>
      </c>
      <c r="F2" s="2">
        <v>1500</v>
      </c>
      <c r="G2" t="s">
        <v>89</v>
      </c>
      <c r="I2" t="s">
        <v>90</v>
      </c>
      <c r="J2" s="2">
        <f>+SUM($F$2:F2)</f>
        <v>1500</v>
      </c>
      <c r="K2" s="5">
        <f>+A2-WEEKDAY(A2,2)+1</f>
        <v>45901</v>
      </c>
      <c r="L2">
        <f>+_xlfn.ISOWEEKNUM(A2)</f>
        <v>36</v>
      </c>
      <c r="M2">
        <f>SUMIFS($F:$F, $K:$K, $K2, $E:$E, "Egreso")</f>
        <v>36500</v>
      </c>
      <c r="N2" s="7">
        <f>INDEX('4 Cash 13Wk'!$G:$G, MATCH($K2,'4 Cash 13Wk'!$B:$B, 0))</f>
        <v>-1053967.083333333</v>
      </c>
      <c r="O2" s="6">
        <f>+M2-N2</f>
        <v>1090467.083333333</v>
      </c>
      <c r="P2" s="10">
        <f>SUMIFS($F:$F, $K:$K, $K2, $E:$E, "Ingreso")</f>
        <v>500000</v>
      </c>
      <c r="Q2" s="7">
        <f>INDEX('4 Cash 13Wk'!$H:$H, MATCH($K2,'4 Cash 13Wk'!$B:$B, 0))</f>
        <v>-2442766.083333333</v>
      </c>
      <c r="R2" s="10">
        <f>+P2-Q2</f>
        <v>2942766.083333333</v>
      </c>
    </row>
    <row r="3" spans="1:18 16384:16384" x14ac:dyDescent="0.2">
      <c r="A3" s="3">
        <v>45902</v>
      </c>
      <c r="B3" t="s">
        <v>75</v>
      </c>
      <c r="C3" t="s">
        <v>33</v>
      </c>
      <c r="E3" t="s">
        <v>93</v>
      </c>
      <c r="F3" s="2">
        <v>500000</v>
      </c>
      <c r="G3" t="s">
        <v>89</v>
      </c>
      <c r="J3" s="2">
        <f>+SUM($F$2:F3)</f>
        <v>501500</v>
      </c>
      <c r="K3" s="5">
        <f t="shared" ref="K3:K31" si="0">+A3-WEEKDAY(A3,2)+1</f>
        <v>45901</v>
      </c>
      <c r="L3">
        <f t="shared" ref="L3:L31" si="1">+_xlfn.ISOWEEKNUM(A3)</f>
        <v>36</v>
      </c>
      <c r="M3">
        <f>SUMIFS($F:$F, $K:$K, $K3, $E:$E, "Egreso")</f>
        <v>36500</v>
      </c>
      <c r="N3" s="7">
        <f>INDEX('4 Cash 13Wk'!$G:$G, MATCH($K3,'4 Cash 13Wk'!$B:$B, 0))</f>
        <v>-1053967.083333333</v>
      </c>
      <c r="O3" s="6">
        <f t="shared" ref="O3:O31" si="2">+M3-N3</f>
        <v>1090467.083333333</v>
      </c>
      <c r="P3" s="10"/>
      <c r="Q3" s="7">
        <f>INDEX('4 Cash 13Wk'!$H:$H, MATCH($K3,'4 Cash 13Wk'!$B:$B, 0))</f>
        <v>-2442766.083333333</v>
      </c>
      <c r="R3" s="10">
        <f t="shared" ref="R3:R31" si="3">+P3-Q3</f>
        <v>2442766.083333333</v>
      </c>
    </row>
    <row r="4" spans="1:18 16384:16384" x14ac:dyDescent="0.2">
      <c r="A4" s="3">
        <v>45903</v>
      </c>
      <c r="B4" t="s">
        <v>76</v>
      </c>
      <c r="E4" t="s">
        <v>81</v>
      </c>
      <c r="F4" s="2">
        <v>35000</v>
      </c>
      <c r="G4" t="s">
        <v>89</v>
      </c>
      <c r="J4" s="2">
        <f>+SUM($F$2:F4)</f>
        <v>536500</v>
      </c>
      <c r="K4" s="5">
        <f t="shared" si="0"/>
        <v>45901</v>
      </c>
      <c r="L4">
        <f t="shared" si="1"/>
        <v>36</v>
      </c>
      <c r="M4">
        <f t="shared" ref="M3:M31" si="4">SUMIFS($F:$F, $K:$K, $K4, $E:$E, "Egreso")</f>
        <v>36500</v>
      </c>
      <c r="N4" s="7">
        <f>INDEX('4 Cash 13Wk'!$G:$G, MATCH($K4,'4 Cash 13Wk'!$B:$B, 0))</f>
        <v>-1053967.083333333</v>
      </c>
      <c r="O4" s="6">
        <f t="shared" si="2"/>
        <v>1090467.083333333</v>
      </c>
      <c r="P4" s="10"/>
      <c r="Q4" s="7">
        <f>INDEX('4 Cash 13Wk'!$H:$H, MATCH($K4,'4 Cash 13Wk'!$B:$B, 0))</f>
        <v>-2442766.083333333</v>
      </c>
      <c r="R4" s="10">
        <f t="shared" si="3"/>
        <v>2442766.083333333</v>
      </c>
    </row>
    <row r="5" spans="1:18 16384:16384" x14ac:dyDescent="0.2">
      <c r="A5" s="3">
        <v>45904</v>
      </c>
      <c r="B5" t="s">
        <v>77</v>
      </c>
      <c r="E5" t="s">
        <v>81</v>
      </c>
      <c r="F5" s="2">
        <v>0</v>
      </c>
      <c r="G5" t="s">
        <v>89</v>
      </c>
      <c r="J5" s="2">
        <f>+SUM($F$2:F5)</f>
        <v>536500</v>
      </c>
      <c r="K5" s="5">
        <f t="shared" si="0"/>
        <v>45901</v>
      </c>
      <c r="L5">
        <f t="shared" si="1"/>
        <v>36</v>
      </c>
      <c r="M5">
        <f t="shared" si="4"/>
        <v>36500</v>
      </c>
      <c r="N5" s="7">
        <f>INDEX('4 Cash 13Wk'!$G:$G, MATCH($K5,'4 Cash 13Wk'!$B:$B, 0))</f>
        <v>-1053967.083333333</v>
      </c>
      <c r="O5" s="6">
        <f t="shared" si="2"/>
        <v>1090467.083333333</v>
      </c>
      <c r="P5" s="10"/>
      <c r="Q5" s="7">
        <f>INDEX('4 Cash 13Wk'!$H:$H, MATCH($K5,'4 Cash 13Wk'!$B:$B, 0))</f>
        <v>-2442766.083333333</v>
      </c>
      <c r="R5" s="10">
        <f t="shared" si="3"/>
        <v>2442766.083333333</v>
      </c>
    </row>
    <row r="6" spans="1:18 16384:16384" x14ac:dyDescent="0.2">
      <c r="A6" s="3">
        <v>45905</v>
      </c>
      <c r="B6" t="s">
        <v>78</v>
      </c>
      <c r="E6" t="s">
        <v>81</v>
      </c>
      <c r="F6" s="2">
        <v>0</v>
      </c>
      <c r="G6" t="s">
        <v>89</v>
      </c>
      <c r="J6" s="2">
        <f>+SUM($F$2:F6)</f>
        <v>536500</v>
      </c>
      <c r="K6" s="5">
        <f t="shared" si="0"/>
        <v>45901</v>
      </c>
      <c r="L6">
        <f t="shared" si="1"/>
        <v>36</v>
      </c>
      <c r="M6">
        <f t="shared" si="4"/>
        <v>36500</v>
      </c>
      <c r="N6" s="7">
        <f>INDEX('4 Cash 13Wk'!$G:$G, MATCH($K6,'4 Cash 13Wk'!$B:$B, 0))</f>
        <v>-1053967.083333333</v>
      </c>
      <c r="O6" s="6">
        <f t="shared" si="2"/>
        <v>1090467.083333333</v>
      </c>
      <c r="P6" s="10"/>
      <c r="Q6" s="7">
        <f>INDEX('4 Cash 13Wk'!$H:$H, MATCH($K6,'4 Cash 13Wk'!$B:$B, 0))</f>
        <v>-2442766.083333333</v>
      </c>
      <c r="R6" s="10">
        <f t="shared" si="3"/>
        <v>2442766.083333333</v>
      </c>
    </row>
    <row r="7" spans="1:18 16384:16384" x14ac:dyDescent="0.2">
      <c r="A7" s="3">
        <v>45906</v>
      </c>
      <c r="B7" t="s">
        <v>79</v>
      </c>
      <c r="E7" t="s">
        <v>81</v>
      </c>
      <c r="F7" s="2">
        <v>0</v>
      </c>
      <c r="G7" t="s">
        <v>89</v>
      </c>
      <c r="J7" s="2">
        <f>+SUM($F$2:F7)</f>
        <v>536500</v>
      </c>
      <c r="K7" s="5">
        <f t="shared" si="0"/>
        <v>45901</v>
      </c>
      <c r="L7">
        <f t="shared" si="1"/>
        <v>36</v>
      </c>
      <c r="M7">
        <f t="shared" si="4"/>
        <v>36500</v>
      </c>
      <c r="N7" s="7">
        <f>INDEX('4 Cash 13Wk'!$G:$G, MATCH($K7,'4 Cash 13Wk'!$B:$B, 0))</f>
        <v>-1053967.083333333</v>
      </c>
      <c r="O7" s="6">
        <f t="shared" si="2"/>
        <v>1090467.083333333</v>
      </c>
      <c r="P7" s="10"/>
      <c r="Q7" s="7">
        <f>INDEX('4 Cash 13Wk'!$H:$H, MATCH($K7,'4 Cash 13Wk'!$B:$B, 0))</f>
        <v>-2442766.083333333</v>
      </c>
      <c r="R7" s="10">
        <f t="shared" si="3"/>
        <v>2442766.083333333</v>
      </c>
    </row>
    <row r="8" spans="1:18 16384:16384" x14ac:dyDescent="0.2">
      <c r="A8" s="3">
        <v>45907</v>
      </c>
      <c r="B8" t="s">
        <v>80</v>
      </c>
      <c r="E8" t="s">
        <v>81</v>
      </c>
      <c r="F8" s="2">
        <v>0</v>
      </c>
      <c r="G8" t="s">
        <v>89</v>
      </c>
      <c r="J8" s="2">
        <f>+SUM($F$2:F8)</f>
        <v>536500</v>
      </c>
      <c r="K8" s="5">
        <f t="shared" si="0"/>
        <v>45901</v>
      </c>
      <c r="L8">
        <f t="shared" si="1"/>
        <v>36</v>
      </c>
      <c r="M8">
        <f t="shared" si="4"/>
        <v>36500</v>
      </c>
      <c r="N8" s="7">
        <f>INDEX('4 Cash 13Wk'!$G:$G, MATCH($K8,'4 Cash 13Wk'!$B:$B, 0))</f>
        <v>-1053967.083333333</v>
      </c>
      <c r="O8" s="6">
        <f t="shared" si="2"/>
        <v>1090467.083333333</v>
      </c>
      <c r="P8" s="10"/>
      <c r="Q8" s="7">
        <f>INDEX('4 Cash 13Wk'!$H:$H, MATCH($K8,'4 Cash 13Wk'!$B:$B, 0))</f>
        <v>-2442766.083333333</v>
      </c>
      <c r="R8" s="10">
        <f t="shared" si="3"/>
        <v>2442766.083333333</v>
      </c>
    </row>
    <row r="9" spans="1:18 16384:16384" x14ac:dyDescent="0.2">
      <c r="A9" s="3">
        <v>45908</v>
      </c>
      <c r="B9" t="s">
        <v>74</v>
      </c>
      <c r="E9" t="s">
        <v>81</v>
      </c>
      <c r="F9" s="2">
        <v>0</v>
      </c>
      <c r="G9" t="s">
        <v>89</v>
      </c>
      <c r="J9" s="2">
        <f>+SUM($F$2:F9)</f>
        <v>536500</v>
      </c>
      <c r="K9" s="5">
        <f t="shared" si="0"/>
        <v>45908</v>
      </c>
      <c r="L9">
        <f t="shared" si="1"/>
        <v>37</v>
      </c>
      <c r="M9">
        <f t="shared" si="4"/>
        <v>0</v>
      </c>
      <c r="N9" s="7">
        <f>INDEX('4 Cash 13Wk'!$G:$G, MATCH($K9,'4 Cash 13Wk'!$B:$B, 0))</f>
        <v>-1053967.083333333</v>
      </c>
      <c r="O9" s="6">
        <f t="shared" si="2"/>
        <v>1053967.083333333</v>
      </c>
      <c r="P9" s="10"/>
      <c r="Q9" s="7">
        <f>INDEX('4 Cash 13Wk'!$H:$H, MATCH($K9,'4 Cash 13Wk'!$B:$B, 0))</f>
        <v>-2442766.083333333</v>
      </c>
      <c r="R9" s="10">
        <f t="shared" si="3"/>
        <v>2442766.083333333</v>
      </c>
    </row>
    <row r="10" spans="1:18 16384:16384" x14ac:dyDescent="0.2">
      <c r="A10" s="3">
        <v>45909</v>
      </c>
      <c r="B10" t="s">
        <v>75</v>
      </c>
      <c r="E10" t="s">
        <v>93</v>
      </c>
      <c r="F10" s="2">
        <v>0</v>
      </c>
      <c r="G10" t="s">
        <v>89</v>
      </c>
      <c r="J10" s="2">
        <f>+SUM($F$2:F10)</f>
        <v>536500</v>
      </c>
      <c r="K10" s="5">
        <f t="shared" si="0"/>
        <v>45908</v>
      </c>
      <c r="L10">
        <f t="shared" si="1"/>
        <v>37</v>
      </c>
      <c r="M10">
        <f t="shared" si="4"/>
        <v>0</v>
      </c>
      <c r="N10" s="7">
        <f>INDEX('4 Cash 13Wk'!$G:$G, MATCH($K10,'4 Cash 13Wk'!$B:$B, 0))</f>
        <v>-1053967.083333333</v>
      </c>
      <c r="O10" s="6">
        <f t="shared" si="2"/>
        <v>1053967.083333333</v>
      </c>
      <c r="P10" s="10"/>
      <c r="Q10" s="7">
        <f>INDEX('4 Cash 13Wk'!$H:$H, MATCH($K10,'4 Cash 13Wk'!$B:$B, 0))</f>
        <v>-2442766.083333333</v>
      </c>
      <c r="R10" s="10">
        <f t="shared" si="3"/>
        <v>2442766.083333333</v>
      </c>
    </row>
    <row r="11" spans="1:18 16384:16384" x14ac:dyDescent="0.2">
      <c r="A11" s="3">
        <v>45910</v>
      </c>
      <c r="B11" t="s">
        <v>76</v>
      </c>
      <c r="E11" t="s">
        <v>81</v>
      </c>
      <c r="F11" s="2">
        <v>0</v>
      </c>
      <c r="G11" t="s">
        <v>89</v>
      </c>
      <c r="J11" s="2">
        <f>+SUM($F$2:F11)</f>
        <v>536500</v>
      </c>
      <c r="K11" s="5">
        <f t="shared" si="0"/>
        <v>45908</v>
      </c>
      <c r="L11">
        <f t="shared" si="1"/>
        <v>37</v>
      </c>
      <c r="M11">
        <f t="shared" si="4"/>
        <v>0</v>
      </c>
      <c r="N11" s="7">
        <f>INDEX('4 Cash 13Wk'!$G:$G, MATCH($K11,'4 Cash 13Wk'!$B:$B, 0))</f>
        <v>-1053967.083333333</v>
      </c>
      <c r="O11" s="6">
        <f t="shared" si="2"/>
        <v>1053967.083333333</v>
      </c>
      <c r="P11" s="10"/>
      <c r="Q11" s="7">
        <f>INDEX('4 Cash 13Wk'!$H:$H, MATCH($K11,'4 Cash 13Wk'!$B:$B, 0))</f>
        <v>-2442766.083333333</v>
      </c>
      <c r="R11" s="10">
        <f t="shared" si="3"/>
        <v>2442766.083333333</v>
      </c>
    </row>
    <row r="12" spans="1:18 16384:16384" x14ac:dyDescent="0.2">
      <c r="A12" s="3">
        <v>45911</v>
      </c>
      <c r="B12" t="s">
        <v>77</v>
      </c>
      <c r="E12" t="s">
        <v>81</v>
      </c>
      <c r="F12" s="2">
        <v>0</v>
      </c>
      <c r="G12" t="s">
        <v>89</v>
      </c>
      <c r="J12" s="2">
        <f>+SUM($F$2:F12)</f>
        <v>536500</v>
      </c>
      <c r="K12" s="5">
        <f t="shared" si="0"/>
        <v>45908</v>
      </c>
      <c r="L12">
        <f t="shared" si="1"/>
        <v>37</v>
      </c>
      <c r="M12">
        <f t="shared" si="4"/>
        <v>0</v>
      </c>
      <c r="N12" s="7">
        <f>INDEX('4 Cash 13Wk'!$G:$G, MATCH($K12,'4 Cash 13Wk'!$B:$B, 0))</f>
        <v>-1053967.083333333</v>
      </c>
      <c r="O12" s="6">
        <f t="shared" si="2"/>
        <v>1053967.083333333</v>
      </c>
      <c r="P12" s="10"/>
      <c r="Q12" s="7">
        <f>INDEX('4 Cash 13Wk'!$H:$H, MATCH($K12,'4 Cash 13Wk'!$B:$B, 0))</f>
        <v>-2442766.083333333</v>
      </c>
      <c r="R12" s="10">
        <f t="shared" si="3"/>
        <v>2442766.083333333</v>
      </c>
    </row>
    <row r="13" spans="1:18 16384:16384" x14ac:dyDescent="0.2">
      <c r="A13" s="3">
        <v>45912</v>
      </c>
      <c r="B13" t="s">
        <v>78</v>
      </c>
      <c r="E13" t="s">
        <v>81</v>
      </c>
      <c r="F13" s="2">
        <v>0</v>
      </c>
      <c r="G13" t="s">
        <v>89</v>
      </c>
      <c r="J13" s="2">
        <f>+SUM($F$2:F13)</f>
        <v>536500</v>
      </c>
      <c r="K13" s="5">
        <f t="shared" si="0"/>
        <v>45908</v>
      </c>
      <c r="L13">
        <f t="shared" si="1"/>
        <v>37</v>
      </c>
      <c r="M13">
        <f t="shared" si="4"/>
        <v>0</v>
      </c>
      <c r="N13" s="7">
        <f>INDEX('4 Cash 13Wk'!$G:$G, MATCH($K13,'4 Cash 13Wk'!$B:$B, 0))</f>
        <v>-1053967.083333333</v>
      </c>
      <c r="O13" s="6">
        <f t="shared" si="2"/>
        <v>1053967.083333333</v>
      </c>
      <c r="P13" s="10"/>
      <c r="Q13" s="7">
        <f>INDEX('4 Cash 13Wk'!$H:$H, MATCH($K13,'4 Cash 13Wk'!$B:$B, 0))</f>
        <v>-2442766.083333333</v>
      </c>
      <c r="R13" s="10">
        <f t="shared" si="3"/>
        <v>2442766.083333333</v>
      </c>
    </row>
    <row r="14" spans="1:18 16384:16384" x14ac:dyDescent="0.2">
      <c r="A14" s="3">
        <v>45913</v>
      </c>
      <c r="B14" t="s">
        <v>79</v>
      </c>
      <c r="E14" t="s">
        <v>81</v>
      </c>
      <c r="F14" s="2">
        <v>0</v>
      </c>
      <c r="G14" t="s">
        <v>89</v>
      </c>
      <c r="J14" s="2">
        <f>+SUM($F$2:F14)</f>
        <v>536500</v>
      </c>
      <c r="K14" s="5">
        <f t="shared" si="0"/>
        <v>45908</v>
      </c>
      <c r="L14">
        <f t="shared" si="1"/>
        <v>37</v>
      </c>
      <c r="M14">
        <f t="shared" si="4"/>
        <v>0</v>
      </c>
      <c r="N14" s="7">
        <f>INDEX('4 Cash 13Wk'!$G:$G, MATCH($K14,'4 Cash 13Wk'!$B:$B, 0))</f>
        <v>-1053967.083333333</v>
      </c>
      <c r="O14" s="6">
        <f t="shared" si="2"/>
        <v>1053967.083333333</v>
      </c>
      <c r="P14" s="10"/>
      <c r="Q14" s="7">
        <f>INDEX('4 Cash 13Wk'!$H:$H, MATCH($K14,'4 Cash 13Wk'!$B:$B, 0))</f>
        <v>-2442766.083333333</v>
      </c>
      <c r="R14" s="10">
        <f t="shared" si="3"/>
        <v>2442766.083333333</v>
      </c>
    </row>
    <row r="15" spans="1:18 16384:16384" x14ac:dyDescent="0.2">
      <c r="A15" s="3">
        <v>45914</v>
      </c>
      <c r="B15" t="s">
        <v>80</v>
      </c>
      <c r="E15" t="s">
        <v>81</v>
      </c>
      <c r="F15" s="2">
        <v>0</v>
      </c>
      <c r="G15" t="s">
        <v>89</v>
      </c>
      <c r="J15" s="2">
        <f>+SUM($F$2:F15)</f>
        <v>536500</v>
      </c>
      <c r="K15" s="5">
        <f t="shared" si="0"/>
        <v>45908</v>
      </c>
      <c r="L15">
        <f t="shared" si="1"/>
        <v>37</v>
      </c>
      <c r="M15">
        <f t="shared" si="4"/>
        <v>0</v>
      </c>
      <c r="N15" s="7">
        <f>INDEX('4 Cash 13Wk'!$G:$G, MATCH($K15,'4 Cash 13Wk'!$B:$B, 0))</f>
        <v>-1053967.083333333</v>
      </c>
      <c r="O15" s="6">
        <f t="shared" si="2"/>
        <v>1053967.083333333</v>
      </c>
      <c r="P15" s="10"/>
      <c r="Q15" s="7">
        <f>INDEX('4 Cash 13Wk'!$H:$H, MATCH($K15,'4 Cash 13Wk'!$B:$B, 0))</f>
        <v>-2442766.083333333</v>
      </c>
      <c r="R15" s="10">
        <f t="shared" si="3"/>
        <v>2442766.083333333</v>
      </c>
    </row>
    <row r="16" spans="1:18 16384:16384" x14ac:dyDescent="0.2">
      <c r="A16" s="3">
        <v>45915</v>
      </c>
      <c r="B16" t="s">
        <v>74</v>
      </c>
      <c r="E16" t="s">
        <v>81</v>
      </c>
      <c r="F16" s="2">
        <v>0</v>
      </c>
      <c r="G16" t="s">
        <v>89</v>
      </c>
      <c r="J16" s="2">
        <f>+SUM($F$2:F16)</f>
        <v>536500</v>
      </c>
      <c r="K16" s="5">
        <f t="shared" si="0"/>
        <v>45915</v>
      </c>
      <c r="L16">
        <f t="shared" si="1"/>
        <v>38</v>
      </c>
      <c r="M16">
        <f t="shared" si="4"/>
        <v>0</v>
      </c>
      <c r="N16" s="7">
        <f>INDEX('4 Cash 13Wk'!$G:$G, MATCH($K16,'4 Cash 13Wk'!$B:$B, 0))</f>
        <v>-1053967.083333333</v>
      </c>
      <c r="O16" s="6">
        <f t="shared" si="2"/>
        <v>1053967.083333333</v>
      </c>
      <c r="P16" s="10"/>
      <c r="Q16" s="7">
        <f>INDEX('4 Cash 13Wk'!$H:$H, MATCH($K16,'4 Cash 13Wk'!$B:$B, 0))</f>
        <v>-2674082.083333333</v>
      </c>
      <c r="R16" s="10">
        <f t="shared" si="3"/>
        <v>2674082.083333333</v>
      </c>
    </row>
    <row r="17" spans="1:18" x14ac:dyDescent="0.2">
      <c r="A17" s="3">
        <v>45916</v>
      </c>
      <c r="B17" t="s">
        <v>75</v>
      </c>
      <c r="E17" t="s">
        <v>93</v>
      </c>
      <c r="F17" s="2">
        <v>0</v>
      </c>
      <c r="G17" t="s">
        <v>89</v>
      </c>
      <c r="J17" s="2">
        <f>+SUM($F$2:F17)</f>
        <v>536500</v>
      </c>
      <c r="K17" s="5">
        <f t="shared" si="0"/>
        <v>45915</v>
      </c>
      <c r="L17">
        <f t="shared" si="1"/>
        <v>38</v>
      </c>
      <c r="M17">
        <f t="shared" si="4"/>
        <v>0</v>
      </c>
      <c r="N17" s="7">
        <f>INDEX('4 Cash 13Wk'!$G:$G, MATCH($K17,'4 Cash 13Wk'!$B:$B, 0))</f>
        <v>-1053967.083333333</v>
      </c>
      <c r="O17" s="6">
        <f t="shared" si="2"/>
        <v>1053967.083333333</v>
      </c>
      <c r="P17" s="10"/>
      <c r="Q17" s="7">
        <f>INDEX('4 Cash 13Wk'!$H:$H, MATCH($K17,'4 Cash 13Wk'!$B:$B, 0))</f>
        <v>-2674082.083333333</v>
      </c>
      <c r="R17" s="10">
        <f t="shared" si="3"/>
        <v>2674082.083333333</v>
      </c>
    </row>
    <row r="18" spans="1:18" x14ac:dyDescent="0.2">
      <c r="A18" s="3">
        <v>45917</v>
      </c>
      <c r="B18" t="s">
        <v>76</v>
      </c>
      <c r="E18" t="s">
        <v>81</v>
      </c>
      <c r="F18" s="2">
        <v>0</v>
      </c>
      <c r="G18" t="s">
        <v>89</v>
      </c>
      <c r="J18" s="2">
        <f>+SUM($F$2:F18)</f>
        <v>536500</v>
      </c>
      <c r="K18" s="5">
        <f t="shared" si="0"/>
        <v>45915</v>
      </c>
      <c r="L18">
        <f t="shared" si="1"/>
        <v>38</v>
      </c>
      <c r="M18">
        <f t="shared" si="4"/>
        <v>0</v>
      </c>
      <c r="N18" s="7">
        <f>INDEX('4 Cash 13Wk'!$G:$G, MATCH($K18,'4 Cash 13Wk'!$B:$B, 0))</f>
        <v>-1053967.083333333</v>
      </c>
      <c r="O18" s="6">
        <f t="shared" si="2"/>
        <v>1053967.083333333</v>
      </c>
      <c r="P18" s="10"/>
      <c r="Q18" s="7">
        <f>INDEX('4 Cash 13Wk'!$H:$H, MATCH($K18,'4 Cash 13Wk'!$B:$B, 0))</f>
        <v>-2674082.083333333</v>
      </c>
      <c r="R18" s="10">
        <f t="shared" si="3"/>
        <v>2674082.083333333</v>
      </c>
    </row>
    <row r="19" spans="1:18" x14ac:dyDescent="0.2">
      <c r="A19" s="3">
        <v>45918</v>
      </c>
      <c r="B19" t="s">
        <v>77</v>
      </c>
      <c r="E19" t="s">
        <v>81</v>
      </c>
      <c r="F19" s="2">
        <v>0</v>
      </c>
      <c r="G19" t="s">
        <v>89</v>
      </c>
      <c r="J19" s="2">
        <f>+SUM($F$2:F19)</f>
        <v>536500</v>
      </c>
      <c r="K19" s="5">
        <f t="shared" si="0"/>
        <v>45915</v>
      </c>
      <c r="L19">
        <f t="shared" si="1"/>
        <v>38</v>
      </c>
      <c r="M19">
        <f t="shared" si="4"/>
        <v>0</v>
      </c>
      <c r="N19" s="7">
        <f>INDEX('4 Cash 13Wk'!$G:$G, MATCH($K19,'4 Cash 13Wk'!$B:$B, 0))</f>
        <v>-1053967.083333333</v>
      </c>
      <c r="O19" s="6">
        <f t="shared" si="2"/>
        <v>1053967.083333333</v>
      </c>
      <c r="P19" s="10"/>
      <c r="Q19" s="7">
        <f>INDEX('4 Cash 13Wk'!$H:$H, MATCH($K19,'4 Cash 13Wk'!$B:$B, 0))</f>
        <v>-2674082.083333333</v>
      </c>
      <c r="R19" s="10">
        <f t="shared" si="3"/>
        <v>2674082.083333333</v>
      </c>
    </row>
    <row r="20" spans="1:18" x14ac:dyDescent="0.2">
      <c r="A20" s="3">
        <v>45919</v>
      </c>
      <c r="B20" t="s">
        <v>78</v>
      </c>
      <c r="E20" t="s">
        <v>81</v>
      </c>
      <c r="F20" s="2">
        <v>0</v>
      </c>
      <c r="G20" t="s">
        <v>89</v>
      </c>
      <c r="J20" s="2">
        <f>+SUM($F$2:F20)</f>
        <v>536500</v>
      </c>
      <c r="K20" s="5">
        <f t="shared" si="0"/>
        <v>45915</v>
      </c>
      <c r="L20">
        <f t="shared" si="1"/>
        <v>38</v>
      </c>
      <c r="M20">
        <f t="shared" si="4"/>
        <v>0</v>
      </c>
      <c r="N20" s="7">
        <f>INDEX('4 Cash 13Wk'!$G:$G, MATCH($K20,'4 Cash 13Wk'!$B:$B, 0))</f>
        <v>-1053967.083333333</v>
      </c>
      <c r="O20" s="6">
        <f t="shared" si="2"/>
        <v>1053967.083333333</v>
      </c>
      <c r="P20" s="10"/>
      <c r="Q20" s="7">
        <f>INDEX('4 Cash 13Wk'!$H:$H, MATCH($K20,'4 Cash 13Wk'!$B:$B, 0))</f>
        <v>-2674082.083333333</v>
      </c>
      <c r="R20" s="10">
        <f t="shared" si="3"/>
        <v>2674082.083333333</v>
      </c>
    </row>
    <row r="21" spans="1:18" x14ac:dyDescent="0.2">
      <c r="A21" s="3">
        <v>45920</v>
      </c>
      <c r="B21" t="s">
        <v>79</v>
      </c>
      <c r="E21" t="s">
        <v>81</v>
      </c>
      <c r="F21" s="2">
        <v>0</v>
      </c>
      <c r="G21" t="s">
        <v>89</v>
      </c>
      <c r="J21" s="2">
        <f>+SUM($F$2:F21)</f>
        <v>536500</v>
      </c>
      <c r="K21" s="5">
        <f t="shared" si="0"/>
        <v>45915</v>
      </c>
      <c r="L21">
        <f t="shared" si="1"/>
        <v>38</v>
      </c>
      <c r="M21">
        <f t="shared" si="4"/>
        <v>0</v>
      </c>
      <c r="N21" s="7">
        <f>INDEX('4 Cash 13Wk'!$G:$G, MATCH($K21,'4 Cash 13Wk'!$B:$B, 0))</f>
        <v>-1053967.083333333</v>
      </c>
      <c r="O21" s="6">
        <f t="shared" si="2"/>
        <v>1053967.083333333</v>
      </c>
      <c r="P21" s="10"/>
      <c r="Q21" s="7">
        <f>INDEX('4 Cash 13Wk'!$H:$H, MATCH($K21,'4 Cash 13Wk'!$B:$B, 0))</f>
        <v>-2674082.083333333</v>
      </c>
      <c r="R21" s="10">
        <f t="shared" si="3"/>
        <v>2674082.083333333</v>
      </c>
    </row>
    <row r="22" spans="1:18" x14ac:dyDescent="0.2">
      <c r="A22" s="3">
        <v>45921</v>
      </c>
      <c r="B22" t="s">
        <v>80</v>
      </c>
      <c r="E22" t="s">
        <v>81</v>
      </c>
      <c r="F22" s="2">
        <v>0</v>
      </c>
      <c r="G22" t="s">
        <v>89</v>
      </c>
      <c r="J22" s="2">
        <f>+SUM($F$2:F22)</f>
        <v>536500</v>
      </c>
      <c r="K22" s="5">
        <f t="shared" si="0"/>
        <v>45915</v>
      </c>
      <c r="L22">
        <f t="shared" si="1"/>
        <v>38</v>
      </c>
      <c r="M22">
        <f t="shared" si="4"/>
        <v>0</v>
      </c>
      <c r="N22" s="7">
        <f>INDEX('4 Cash 13Wk'!$G:$G, MATCH($K22,'4 Cash 13Wk'!$B:$B, 0))</f>
        <v>-1053967.083333333</v>
      </c>
      <c r="O22" s="6">
        <f t="shared" si="2"/>
        <v>1053967.083333333</v>
      </c>
      <c r="P22" s="10"/>
      <c r="Q22" s="7">
        <f>INDEX('4 Cash 13Wk'!$H:$H, MATCH($K22,'4 Cash 13Wk'!$B:$B, 0))</f>
        <v>-2674082.083333333</v>
      </c>
      <c r="R22" s="10">
        <f t="shared" si="3"/>
        <v>2674082.083333333</v>
      </c>
    </row>
    <row r="23" spans="1:18" x14ac:dyDescent="0.2">
      <c r="A23" s="3">
        <v>45922</v>
      </c>
      <c r="B23" t="s">
        <v>74</v>
      </c>
      <c r="E23" t="s">
        <v>81</v>
      </c>
      <c r="F23" s="2">
        <v>0</v>
      </c>
      <c r="G23" t="s">
        <v>89</v>
      </c>
      <c r="J23" s="2">
        <f>+SUM($F$2:F23)</f>
        <v>536500</v>
      </c>
      <c r="K23" s="5">
        <f t="shared" si="0"/>
        <v>45922</v>
      </c>
      <c r="L23">
        <f t="shared" si="1"/>
        <v>39</v>
      </c>
      <c r="M23">
        <f t="shared" si="4"/>
        <v>0</v>
      </c>
      <c r="N23" s="7">
        <f>INDEX('4 Cash 13Wk'!$G:$G, MATCH($K23,'4 Cash 13Wk'!$B:$B, 0))</f>
        <v>-1053967.083333333</v>
      </c>
      <c r="O23" s="6">
        <f t="shared" si="2"/>
        <v>1053967.083333333</v>
      </c>
      <c r="P23" s="10"/>
      <c r="Q23" s="7">
        <f>INDEX('4 Cash 13Wk'!$H:$H, MATCH($K23,'4 Cash 13Wk'!$B:$B, 0))</f>
        <v>-2674082.083333333</v>
      </c>
      <c r="R23" s="10">
        <f t="shared" si="3"/>
        <v>2674082.083333333</v>
      </c>
    </row>
    <row r="24" spans="1:18" x14ac:dyDescent="0.2">
      <c r="A24" s="3">
        <v>45923</v>
      </c>
      <c r="B24" t="s">
        <v>75</v>
      </c>
      <c r="E24" t="s">
        <v>81</v>
      </c>
      <c r="F24" s="2">
        <v>0</v>
      </c>
      <c r="G24" t="s">
        <v>89</v>
      </c>
      <c r="J24" s="2">
        <f>+SUM($F$2:F24)</f>
        <v>536500</v>
      </c>
      <c r="K24" s="5">
        <f t="shared" si="0"/>
        <v>45922</v>
      </c>
      <c r="L24">
        <f t="shared" si="1"/>
        <v>39</v>
      </c>
      <c r="M24">
        <f t="shared" si="4"/>
        <v>0</v>
      </c>
      <c r="N24" s="7">
        <f>INDEX('4 Cash 13Wk'!$G:$G, MATCH($K24,'4 Cash 13Wk'!$B:$B, 0))</f>
        <v>-1053967.083333333</v>
      </c>
      <c r="O24" s="6">
        <f t="shared" si="2"/>
        <v>1053967.083333333</v>
      </c>
      <c r="P24" s="10"/>
      <c r="Q24" s="7">
        <f>INDEX('4 Cash 13Wk'!$H:$H, MATCH($K24,'4 Cash 13Wk'!$B:$B, 0))</f>
        <v>-2674082.083333333</v>
      </c>
      <c r="R24" s="10">
        <f t="shared" si="3"/>
        <v>2674082.083333333</v>
      </c>
    </row>
    <row r="25" spans="1:18" x14ac:dyDescent="0.2">
      <c r="A25" s="3">
        <v>45924</v>
      </c>
      <c r="B25" t="s">
        <v>76</v>
      </c>
      <c r="E25" t="s">
        <v>81</v>
      </c>
      <c r="F25" s="2">
        <v>0</v>
      </c>
      <c r="G25" t="s">
        <v>89</v>
      </c>
      <c r="J25" s="2">
        <f>+SUM($F$2:F25)</f>
        <v>536500</v>
      </c>
      <c r="K25" s="5">
        <f t="shared" si="0"/>
        <v>45922</v>
      </c>
      <c r="L25">
        <f t="shared" si="1"/>
        <v>39</v>
      </c>
      <c r="M25">
        <f t="shared" si="4"/>
        <v>0</v>
      </c>
      <c r="N25" s="7">
        <f>INDEX('4 Cash 13Wk'!$G:$G, MATCH($K25,'4 Cash 13Wk'!$B:$B, 0))</f>
        <v>-1053967.083333333</v>
      </c>
      <c r="O25" s="6">
        <f t="shared" si="2"/>
        <v>1053967.083333333</v>
      </c>
      <c r="P25" s="10"/>
      <c r="Q25" s="7">
        <f>INDEX('4 Cash 13Wk'!$H:$H, MATCH($K25,'4 Cash 13Wk'!$B:$B, 0))</f>
        <v>-2674082.083333333</v>
      </c>
      <c r="R25" s="10">
        <f t="shared" si="3"/>
        <v>2674082.083333333</v>
      </c>
    </row>
    <row r="26" spans="1:18" x14ac:dyDescent="0.2">
      <c r="A26" s="3">
        <v>45925</v>
      </c>
      <c r="B26" t="s">
        <v>77</v>
      </c>
      <c r="E26" t="s">
        <v>81</v>
      </c>
      <c r="F26" s="2">
        <v>0</v>
      </c>
      <c r="G26" t="s">
        <v>89</v>
      </c>
      <c r="J26" s="2">
        <f>+SUM($F$2:F26)</f>
        <v>536500</v>
      </c>
      <c r="K26" s="5">
        <f t="shared" si="0"/>
        <v>45922</v>
      </c>
      <c r="L26">
        <f t="shared" si="1"/>
        <v>39</v>
      </c>
      <c r="M26">
        <f t="shared" si="4"/>
        <v>0</v>
      </c>
      <c r="N26" s="7">
        <f>INDEX('4 Cash 13Wk'!$G:$G, MATCH($K26,'4 Cash 13Wk'!$B:$B, 0))</f>
        <v>-1053967.083333333</v>
      </c>
      <c r="O26" s="6">
        <f t="shared" si="2"/>
        <v>1053967.083333333</v>
      </c>
      <c r="P26" s="10"/>
      <c r="Q26" s="7">
        <f>INDEX('4 Cash 13Wk'!$H:$H, MATCH($K26,'4 Cash 13Wk'!$B:$B, 0))</f>
        <v>-2674082.083333333</v>
      </c>
      <c r="R26" s="10">
        <f t="shared" si="3"/>
        <v>2674082.083333333</v>
      </c>
    </row>
    <row r="27" spans="1:18" x14ac:dyDescent="0.2">
      <c r="A27" s="3">
        <v>45926</v>
      </c>
      <c r="B27" t="s">
        <v>78</v>
      </c>
      <c r="E27" t="s">
        <v>81</v>
      </c>
      <c r="F27" s="2">
        <v>0</v>
      </c>
      <c r="G27" t="s">
        <v>89</v>
      </c>
      <c r="J27" s="2">
        <f>+SUM($F$2:F27)</f>
        <v>536500</v>
      </c>
      <c r="K27" s="5">
        <f t="shared" si="0"/>
        <v>45922</v>
      </c>
      <c r="L27">
        <f t="shared" si="1"/>
        <v>39</v>
      </c>
      <c r="M27">
        <f t="shared" si="4"/>
        <v>0</v>
      </c>
      <c r="N27" s="7">
        <f>INDEX('4 Cash 13Wk'!$G:$G, MATCH($K27,'4 Cash 13Wk'!$B:$B, 0))</f>
        <v>-1053967.083333333</v>
      </c>
      <c r="O27" s="6">
        <f t="shared" si="2"/>
        <v>1053967.083333333</v>
      </c>
      <c r="P27" s="10"/>
      <c r="Q27" s="7">
        <f>INDEX('4 Cash 13Wk'!$H:$H, MATCH($K27,'4 Cash 13Wk'!$B:$B, 0))</f>
        <v>-2674082.083333333</v>
      </c>
      <c r="R27" s="10">
        <f t="shared" si="3"/>
        <v>2674082.083333333</v>
      </c>
    </row>
    <row r="28" spans="1:18" x14ac:dyDescent="0.2">
      <c r="A28" s="3">
        <v>45927</v>
      </c>
      <c r="B28" t="s">
        <v>79</v>
      </c>
      <c r="E28" t="s">
        <v>81</v>
      </c>
      <c r="F28" s="2">
        <v>0</v>
      </c>
      <c r="G28" t="s">
        <v>89</v>
      </c>
      <c r="J28" s="2">
        <f>+SUM($F$2:F28)</f>
        <v>536500</v>
      </c>
      <c r="K28" s="5">
        <f t="shared" si="0"/>
        <v>45922</v>
      </c>
      <c r="L28">
        <f t="shared" si="1"/>
        <v>39</v>
      </c>
      <c r="M28">
        <f t="shared" si="4"/>
        <v>0</v>
      </c>
      <c r="N28" s="7">
        <f>INDEX('4 Cash 13Wk'!$G:$G, MATCH($K28,'4 Cash 13Wk'!$B:$B, 0))</f>
        <v>-1053967.083333333</v>
      </c>
      <c r="O28" s="6">
        <f t="shared" si="2"/>
        <v>1053967.083333333</v>
      </c>
      <c r="P28" s="10"/>
      <c r="Q28" s="7">
        <f>INDEX('4 Cash 13Wk'!$H:$H, MATCH($K28,'4 Cash 13Wk'!$B:$B, 0))</f>
        <v>-2674082.083333333</v>
      </c>
      <c r="R28" s="10">
        <f t="shared" si="3"/>
        <v>2674082.083333333</v>
      </c>
    </row>
    <row r="29" spans="1:18" x14ac:dyDescent="0.2">
      <c r="A29" s="3">
        <v>45928</v>
      </c>
      <c r="B29" t="s">
        <v>80</v>
      </c>
      <c r="E29" t="s">
        <v>81</v>
      </c>
      <c r="F29" s="2">
        <v>0</v>
      </c>
      <c r="G29" t="s">
        <v>89</v>
      </c>
      <c r="J29" s="2">
        <f>+SUM($F$2:F29)</f>
        <v>536500</v>
      </c>
      <c r="K29" s="5">
        <f t="shared" si="0"/>
        <v>45922</v>
      </c>
      <c r="L29">
        <f t="shared" si="1"/>
        <v>39</v>
      </c>
      <c r="M29">
        <f t="shared" si="4"/>
        <v>0</v>
      </c>
      <c r="N29" s="7">
        <f>INDEX('4 Cash 13Wk'!$G:$G, MATCH($K29,'4 Cash 13Wk'!$B:$B, 0))</f>
        <v>-1053967.083333333</v>
      </c>
      <c r="O29" s="6">
        <f t="shared" si="2"/>
        <v>1053967.083333333</v>
      </c>
      <c r="P29" s="10"/>
      <c r="Q29" s="7">
        <f>INDEX('4 Cash 13Wk'!$H:$H, MATCH($K29,'4 Cash 13Wk'!$B:$B, 0))</f>
        <v>-2674082.083333333</v>
      </c>
      <c r="R29" s="10">
        <f t="shared" si="3"/>
        <v>2674082.083333333</v>
      </c>
    </row>
    <row r="30" spans="1:18" x14ac:dyDescent="0.2">
      <c r="A30" s="3">
        <v>45929</v>
      </c>
      <c r="B30" t="s">
        <v>74</v>
      </c>
      <c r="E30" t="s">
        <v>81</v>
      </c>
      <c r="F30" s="2">
        <v>0</v>
      </c>
      <c r="G30" t="s">
        <v>89</v>
      </c>
      <c r="J30" s="2">
        <f>+SUM($F$2:F30)</f>
        <v>536500</v>
      </c>
      <c r="K30" s="5">
        <f t="shared" si="0"/>
        <v>45929</v>
      </c>
      <c r="L30">
        <f t="shared" si="1"/>
        <v>40</v>
      </c>
      <c r="M30">
        <f t="shared" si="4"/>
        <v>0</v>
      </c>
      <c r="N30" s="7">
        <f>INDEX('4 Cash 13Wk'!$G:$G, MATCH($K30,'4 Cash 13Wk'!$B:$B, 0))</f>
        <v>-1053967.083333333</v>
      </c>
      <c r="O30" s="6">
        <f t="shared" si="2"/>
        <v>1053967.083333333</v>
      </c>
      <c r="P30" s="10"/>
      <c r="Q30" s="7">
        <f>INDEX('4 Cash 13Wk'!$H:$H, MATCH($K30,'4 Cash 13Wk'!$B:$B, 0))</f>
        <v>-2674082.083333333</v>
      </c>
      <c r="R30" s="10">
        <f t="shared" si="3"/>
        <v>2674082.083333333</v>
      </c>
    </row>
    <row r="31" spans="1:18" x14ac:dyDescent="0.2">
      <c r="A31" s="3">
        <v>45930</v>
      </c>
      <c r="B31" t="s">
        <v>75</v>
      </c>
      <c r="E31" t="s">
        <v>81</v>
      </c>
      <c r="F31" s="2">
        <v>0</v>
      </c>
      <c r="G31" t="s">
        <v>89</v>
      </c>
      <c r="J31" s="2">
        <f>+SUM($F$2:F31)</f>
        <v>536500</v>
      </c>
      <c r="K31" s="5">
        <f t="shared" si="0"/>
        <v>45929</v>
      </c>
      <c r="L31">
        <f t="shared" si="1"/>
        <v>40</v>
      </c>
      <c r="M31">
        <f t="shared" si="4"/>
        <v>0</v>
      </c>
      <c r="N31" s="7">
        <f>INDEX('4 Cash 13Wk'!$G:$G, MATCH($K31,'4 Cash 13Wk'!$B:$B, 0))</f>
        <v>-1053967.083333333</v>
      </c>
      <c r="O31" s="6">
        <f t="shared" si="2"/>
        <v>1053967.083333333</v>
      </c>
      <c r="P31" s="10"/>
      <c r="Q31" s="7">
        <f>INDEX('4 Cash 13Wk'!$H:$H, MATCH($K31,'4 Cash 13Wk'!$B:$B, 0))</f>
        <v>-2674082.083333333</v>
      </c>
      <c r="R31" s="10">
        <f t="shared" si="3"/>
        <v>2674082.083333333</v>
      </c>
    </row>
  </sheetData>
  <conditionalFormatting sqref="G2:G31">
    <cfRule type="cellIs" dxfId="1" priority="1" operator="equal">
      <formula>"Sí"</formula>
    </cfRule>
    <cfRule type="cellIs" dxfId="0" priority="2" operator="equal">
      <formula>"No"</formula>
    </cfRule>
  </conditionalFormatting>
  <pageMargins left="0.7" right="0.7" top="0.75" bottom="0.75" header="0.3" footer="0.3"/>
  <ignoredErrors>
    <ignoredError sqref="J3:J4 J5:J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Assumptions</vt:lpstr>
      <vt:lpstr> 2 Budget Areas</vt:lpstr>
      <vt:lpstr>3 Budget PnL</vt:lpstr>
      <vt:lpstr>4 Cash 13Wk</vt:lpstr>
      <vt:lpstr>5 Ejecución Diaria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Alethia Arreola</cp:lastModifiedBy>
  <dcterms:created xsi:type="dcterms:W3CDTF">2025-09-09T22:44:17Z</dcterms:created>
  <dcterms:modified xsi:type="dcterms:W3CDTF">2025-09-10T18:19:42Z</dcterms:modified>
</cp:coreProperties>
</file>