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thiaarreola/Desktop/"/>
    </mc:Choice>
  </mc:AlternateContent>
  <xr:revisionPtr revIDLastSave="0" documentId="13_ncr:1_{07C1B135-C395-AF43-BB61-5C5B3B4D44B0}" xr6:coauthVersionLast="47" xr6:coauthVersionMax="47" xr10:uidLastSave="{00000000-0000-0000-0000-000000000000}"/>
  <bookViews>
    <workbookView xWindow="380" yWindow="500" windowWidth="28040" windowHeight="16540" activeTab="2" xr2:uid="{05227A31-6B9B-BB47-A238-7E25D0421D41}"/>
  </bookViews>
  <sheets>
    <sheet name="Assumptions" sheetId="2" r:id="rId1"/>
    <sheet name="BCS" sheetId="1" r:id="rId2"/>
    <sheet name="WCS" sheetId="3" r:id="rId3"/>
  </sheets>
  <definedNames>
    <definedName name="_xlchart.v1.0" hidden="1">BCS!$C$40:$M$40</definedName>
    <definedName name="_xlchart.v1.1" hidden="1">BCS!$C$41:$M$41</definedName>
    <definedName name="_xlchart.v1.2" hidden="1">BCS!$C$40:$M$40</definedName>
    <definedName name="_xlchart.v1.3" hidden="1">BCS!$C$41:$M$41</definedName>
    <definedName name="_xlchart.v2.4" hidden="1">BCS!$C$40:$M$40</definedName>
    <definedName name="_xlchart.v2.5" hidden="1">BCS!$C$41:$M$41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3" l="1"/>
  <c r="F22" i="3"/>
  <c r="E22" i="3"/>
  <c r="D22" i="3"/>
  <c r="D21" i="3"/>
  <c r="F20" i="3"/>
  <c r="E20" i="3"/>
  <c r="D20" i="3"/>
  <c r="D7" i="3"/>
  <c r="F6" i="3"/>
  <c r="E6" i="3"/>
  <c r="D6" i="3"/>
  <c r="F4" i="3"/>
  <c r="E4" i="3"/>
  <c r="H32" i="3"/>
  <c r="C32" i="3"/>
  <c r="C30" i="3"/>
  <c r="F10" i="3" s="1"/>
  <c r="F28" i="3" s="1"/>
  <c r="D19" i="3"/>
  <c r="D23" i="3" s="1"/>
  <c r="D24" i="3" s="1"/>
  <c r="D29" i="3" s="1"/>
  <c r="D10" i="3"/>
  <c r="D28" i="3" s="1"/>
  <c r="F7" i="3"/>
  <c r="E7" i="3"/>
  <c r="E19" i="3"/>
  <c r="D4" i="3"/>
  <c r="L3" i="3"/>
  <c r="L6" i="3" s="1"/>
  <c r="F41" i="1"/>
  <c r="G41" i="1" s="1"/>
  <c r="H41" i="1" s="1"/>
  <c r="I41" i="1" s="1"/>
  <c r="J41" i="1" s="1"/>
  <c r="K41" i="1" s="1"/>
  <c r="L41" i="1" s="1"/>
  <c r="M41" i="1" s="1"/>
  <c r="E41" i="1"/>
  <c r="D41" i="1"/>
  <c r="C41" i="1"/>
  <c r="C37" i="1"/>
  <c r="I32" i="1"/>
  <c r="J32" i="1"/>
  <c r="K32" i="1"/>
  <c r="L32" i="1"/>
  <c r="M32" i="1" s="1"/>
  <c r="H32" i="1"/>
  <c r="C36" i="1"/>
  <c r="C34" i="1"/>
  <c r="C35" i="1"/>
  <c r="G4" i="1"/>
  <c r="D32" i="1"/>
  <c r="C32" i="1"/>
  <c r="E32" i="1"/>
  <c r="F32" i="1"/>
  <c r="D29" i="1"/>
  <c r="D24" i="1"/>
  <c r="F29" i="1"/>
  <c r="E29" i="1"/>
  <c r="F24" i="1"/>
  <c r="E24" i="1"/>
  <c r="F22" i="1"/>
  <c r="E22" i="1"/>
  <c r="D22" i="1"/>
  <c r="E20" i="1"/>
  <c r="F20" i="1"/>
  <c r="F23" i="1" s="1"/>
  <c r="D20" i="1"/>
  <c r="D23" i="1" s="1"/>
  <c r="E23" i="1"/>
  <c r="E19" i="1"/>
  <c r="F19" i="1"/>
  <c r="D19" i="1"/>
  <c r="E21" i="1"/>
  <c r="F21" i="1"/>
  <c r="D21" i="1"/>
  <c r="D30" i="1"/>
  <c r="E30" i="1" s="1"/>
  <c r="C30" i="1"/>
  <c r="F10" i="1" s="1"/>
  <c r="F28" i="1" s="1"/>
  <c r="L3" i="1"/>
  <c r="L6" i="1" s="1"/>
  <c r="F7" i="1"/>
  <c r="E7" i="1"/>
  <c r="D7" i="1"/>
  <c r="H5" i="2"/>
  <c r="F4" i="1"/>
  <c r="F6" i="1" s="1"/>
  <c r="F9" i="1" s="1"/>
  <c r="H2" i="2"/>
  <c r="E4" i="1" s="1"/>
  <c r="E6" i="1" s="1"/>
  <c r="E9" i="1" s="1"/>
  <c r="F19" i="3" l="1"/>
  <c r="I32" i="3"/>
  <c r="E9" i="3"/>
  <c r="E11" i="3" s="1"/>
  <c r="F9" i="3"/>
  <c r="F11" i="3" s="1"/>
  <c r="E21" i="3"/>
  <c r="G4" i="3"/>
  <c r="E10" i="3"/>
  <c r="E28" i="3" s="1"/>
  <c r="E23" i="3"/>
  <c r="E24" i="3" s="1"/>
  <c r="E29" i="3" s="1"/>
  <c r="F21" i="3"/>
  <c r="F23" i="3" s="1"/>
  <c r="D30" i="3"/>
  <c r="E30" i="3" s="1"/>
  <c r="C41" i="3"/>
  <c r="D9" i="3"/>
  <c r="D11" i="3" s="1"/>
  <c r="F11" i="1"/>
  <c r="D10" i="1"/>
  <c r="D28" i="1" s="1"/>
  <c r="D4" i="1"/>
  <c r="D6" i="1" s="1"/>
  <c r="D9" i="1" s="1"/>
  <c r="F24" i="3" l="1"/>
  <c r="F29" i="3" s="1"/>
  <c r="F27" i="3"/>
  <c r="F32" i="3" s="1"/>
  <c r="F12" i="3"/>
  <c r="D12" i="3"/>
  <c r="D27" i="3"/>
  <c r="D32" i="3" s="1"/>
  <c r="E27" i="3"/>
  <c r="E32" i="3" s="1"/>
  <c r="E12" i="3"/>
  <c r="J32" i="3"/>
  <c r="F12" i="1"/>
  <c r="F27" i="1"/>
  <c r="D11" i="1"/>
  <c r="E10" i="1"/>
  <c r="C36" i="3" l="1"/>
  <c r="D41" i="3"/>
  <c r="E41" i="3" s="1"/>
  <c r="F41" i="3" s="1"/>
  <c r="G41" i="3" s="1"/>
  <c r="H41" i="3" s="1"/>
  <c r="I41" i="3" s="1"/>
  <c r="J41" i="3" s="1"/>
  <c r="K32" i="3"/>
  <c r="C35" i="3"/>
  <c r="E11" i="1"/>
  <c r="E28" i="1"/>
  <c r="D12" i="1"/>
  <c r="D27" i="1"/>
  <c r="K41" i="3" l="1"/>
  <c r="L32" i="3"/>
  <c r="E12" i="1"/>
  <c r="E27" i="1"/>
  <c r="L41" i="3" l="1"/>
  <c r="M32" i="3"/>
  <c r="M41" i="3" l="1"/>
  <c r="C37" i="3"/>
</calcChain>
</file>

<file path=xl/sharedStrings.xml><?xml version="1.0" encoding="utf-8"?>
<sst xmlns="http://schemas.openxmlformats.org/spreadsheetml/2006/main" count="91" uniqueCount="57">
  <si>
    <t>Euphoria</t>
  </si>
  <si>
    <t>Perpetuity</t>
  </si>
  <si>
    <t>Revenue</t>
  </si>
  <si>
    <t>Fixed Costs</t>
  </si>
  <si>
    <t>SG&amp;A</t>
  </si>
  <si>
    <t>EBIT</t>
  </si>
  <si>
    <t>Working Capital Assumptions</t>
  </si>
  <si>
    <t>WC Initial Investment ($)</t>
  </si>
  <si>
    <t>CAPEX</t>
  </si>
  <si>
    <t>NOPAT</t>
  </si>
  <si>
    <t>Mdp</t>
  </si>
  <si>
    <r>
      <t>Crecimiento anual en ventas</t>
    </r>
    <r>
      <rPr>
        <sz val="12"/>
        <color theme="1"/>
        <rFont val="Calibri"/>
        <family val="2"/>
        <scheme val="minor"/>
      </rPr>
      <t>: 10% (Gen Z es el segmento que más crece en cosmética, especialmente skincare y makeup accesible).</t>
    </r>
  </si>
  <si>
    <r>
      <t>Margen bruto</t>
    </r>
    <r>
      <rPr>
        <sz val="12"/>
        <color theme="1"/>
        <rFont val="Calibri"/>
        <family val="2"/>
        <scheme val="minor"/>
      </rPr>
      <t>: 45% (vs. 55% premium).</t>
    </r>
  </si>
  <si>
    <r>
      <t>G&amp;A corporativo</t>
    </r>
    <r>
      <rPr>
        <sz val="12"/>
        <color theme="1"/>
        <rFont val="Calibri"/>
        <family val="2"/>
        <scheme val="minor"/>
      </rPr>
      <t>: $1.5M anuales (se incrementa porque habrá que invertir más en marketing digital y community building).</t>
    </r>
  </si>
  <si>
    <t>Tiendas abiertas</t>
  </si>
  <si>
    <r>
      <t>Ventas promedio mensual por tienda</t>
    </r>
    <r>
      <rPr>
        <sz val="12"/>
        <color theme="1"/>
        <rFont val="Calibri"/>
        <family val="2"/>
        <scheme val="minor"/>
      </rPr>
      <t xml:space="preserve">: </t>
    </r>
  </si>
  <si>
    <t>mil pesos</t>
  </si>
  <si>
    <t>Revenue Growth 10%</t>
  </si>
  <si>
    <r>
      <t>Costos fijos por tienda</t>
    </r>
    <r>
      <rPr>
        <sz val="12"/>
        <color theme="1"/>
        <rFont val="Calibri"/>
        <family val="2"/>
        <scheme val="minor"/>
      </rPr>
      <t xml:space="preserve">: $250K/mes </t>
    </r>
  </si>
  <si>
    <t>Gross Margin (45%)</t>
  </si>
  <si>
    <t>EBITDA</t>
  </si>
  <si>
    <t>CAPEZ Vida útil contable</t>
  </si>
  <si>
    <t>Depn</t>
  </si>
  <si>
    <t>Break-even point</t>
  </si>
  <si>
    <t>Contribución Marginal</t>
  </si>
  <si>
    <t>k</t>
  </si>
  <si>
    <t>por tienda</t>
  </si>
  <si>
    <t>CF/MC</t>
  </si>
  <si>
    <t>ventas proyectadas/ BEP</t>
  </si>
  <si>
    <t>30 AÑOS</t>
  </si>
  <si>
    <t>Supuestos típicos de capital de trabajo (para retail de cosmética / masstige)</t>
  </si>
  <si>
    <t>DSO (Days Sales Outstanding): 15 días (clientes pagan rápido, mucho efectivo/tarjeta).</t>
  </si>
  <si>
    <t>DIO (Days Inventory Outstanding): 60 días (alto nivel de inventario por surtido).</t>
  </si>
  <si>
    <t>DPO (Days Payables Outstanding): 45 días (crédito con proveedores).</t>
  </si>
  <si>
    <t>Min Cash Balance: 2% de ventas.</t>
  </si>
  <si>
    <t>Impuestos: 30%.</t>
  </si>
  <si>
    <t>Capital de Trabajo</t>
  </si>
  <si>
    <t>ΔWC</t>
  </si>
  <si>
    <t>DSO 15</t>
  </si>
  <si>
    <t>DIO 60</t>
  </si>
  <si>
    <t>DPO 45</t>
  </si>
  <si>
    <t>Min cash balance as % of sales 2%</t>
  </si>
  <si>
    <t>EBIT *(1-TX)</t>
  </si>
  <si>
    <t>TX (30%)</t>
  </si>
  <si>
    <t>NWC</t>
  </si>
  <si>
    <t>FCF</t>
  </si>
  <si>
    <t>NPV 14%</t>
  </si>
  <si>
    <t>IRR</t>
  </si>
  <si>
    <t>IRRP</t>
  </si>
  <si>
    <t>Payback Period</t>
  </si>
  <si>
    <t>NPV 10 yrs</t>
  </si>
  <si>
    <t>Revenue Growth 5%</t>
  </si>
  <si>
    <t>Gross Margin (30%)</t>
  </si>
  <si>
    <t>DSO 30</t>
  </si>
  <si>
    <t>DIO 90</t>
  </si>
  <si>
    <t>DPO 15</t>
  </si>
  <si>
    <t>NPV 14% a 2035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</si>
</sst>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0" fillId="0" borderId="0" xfId="0" applyFont="1"/>
    <xf numFmtId="44" fontId="0" fillId="0" borderId="0" xfId="1" applyFont="1"/>
    <xf numFmtId="8" fontId="0" fillId="0" borderId="0" xfId="0" applyNumberFormat="1"/>
    <xf numFmtId="44" fontId="0" fillId="0" borderId="0" xfId="0" applyNumberFormat="1"/>
    <xf numFmtId="9" fontId="0" fillId="0" borderId="0" xfId="0" applyNumberFormat="1"/>
    <xf numFmtId="9" fontId="0" fillId="0" borderId="0" xfId="2" applyFont="1"/>
    <xf numFmtId="0" fontId="3" fillId="0" borderId="0" xfId="0" applyFont="1"/>
    <xf numFmtId="0" fontId="4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BCS!$C$40:$M$40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f>BCS!$C$41:$M$41</c:f>
              <c:numCache>
                <c:formatCode>_("$"* #,##0.00_);_("$"* \(#,##0.00\);_("$"* "-"??_);_(@_)</c:formatCode>
                <c:ptCount val="11"/>
                <c:pt idx="0">
                  <c:v>-14000</c:v>
                </c:pt>
                <c:pt idx="1">
                  <c:v>-25981.666666666668</c:v>
                </c:pt>
                <c:pt idx="2">
                  <c:v>-27017.666666666668</c:v>
                </c:pt>
                <c:pt idx="3">
                  <c:v>-3328.4999999999964</c:v>
                </c:pt>
                <c:pt idx="4">
                  <c:v>20360.666666666675</c:v>
                </c:pt>
                <c:pt idx="5">
                  <c:v>44049.833333333343</c:v>
                </c:pt>
                <c:pt idx="6">
                  <c:v>67739.000000000015</c:v>
                </c:pt>
                <c:pt idx="7">
                  <c:v>91428.166666666686</c:v>
                </c:pt>
                <c:pt idx="8">
                  <c:v>115117.33333333336</c:v>
                </c:pt>
                <c:pt idx="9">
                  <c:v>138806.50000000003</c:v>
                </c:pt>
                <c:pt idx="10">
                  <c:v>162495.66666666669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57-F54F-A5D4-535166365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2543600"/>
        <c:axId val="1672545328"/>
      </c:lineChart>
      <c:catAx>
        <c:axId val="167254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672545328"/>
        <c:crosses val="autoZero"/>
        <c:auto val="1"/>
        <c:lblAlgn val="ctr"/>
        <c:lblOffset val="100"/>
        <c:noMultiLvlLbl val="0"/>
      </c:catAx>
      <c:valAx>
        <c:axId val="167254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67254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WCS!$C$40:$M$40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f>WCS!$C$41:$M$41</c:f>
              <c:numCache>
                <c:formatCode>_("$"* #,##0.00_);_("$"* \(#,##0.00\);_("$"* "-"??_);_(@_)</c:formatCode>
                <c:ptCount val="11"/>
                <c:pt idx="0">
                  <c:v>-14000</c:v>
                </c:pt>
                <c:pt idx="1">
                  <c:v>-34561.666666666664</c:v>
                </c:pt>
                <c:pt idx="2">
                  <c:v>-46180.166666666664</c:v>
                </c:pt>
                <c:pt idx="3">
                  <c:v>-39254.25</c:v>
                </c:pt>
                <c:pt idx="4">
                  <c:v>-15565.083333333328</c:v>
                </c:pt>
                <c:pt idx="5">
                  <c:v>8124.083333333343</c:v>
                </c:pt>
                <c:pt idx="6">
                  <c:v>31813.250000000015</c:v>
                </c:pt>
                <c:pt idx="7">
                  <c:v>55502.416666666686</c:v>
                </c:pt>
                <c:pt idx="8">
                  <c:v>79191.583333333358</c:v>
                </c:pt>
                <c:pt idx="9">
                  <c:v>102880.75000000003</c:v>
                </c:pt>
                <c:pt idx="10">
                  <c:v>126569.9166666667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D-1643-956D-583E2B401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2543600"/>
        <c:axId val="1672545328"/>
      </c:lineChart>
      <c:catAx>
        <c:axId val="167254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672545328"/>
        <c:crosses val="autoZero"/>
        <c:auto val="1"/>
        <c:lblAlgn val="ctr"/>
        <c:lblOffset val="100"/>
        <c:noMultiLvlLbl val="0"/>
      </c:catAx>
      <c:valAx>
        <c:axId val="167254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X"/>
          </a:p>
        </c:txPr>
        <c:crossAx val="167254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43</xdr:row>
      <xdr:rowOff>63500</xdr:rowOff>
    </xdr:from>
    <xdr:to>
      <xdr:col>10</xdr:col>
      <xdr:colOff>800100</xdr:colOff>
      <xdr:row>62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08599B-722A-9749-82FB-5F80CA5400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43</xdr:row>
      <xdr:rowOff>63500</xdr:rowOff>
    </xdr:from>
    <xdr:to>
      <xdr:col>10</xdr:col>
      <xdr:colOff>800100</xdr:colOff>
      <xdr:row>62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69A152-B2B1-A647-B7FB-33253E37C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912A1-3584-5347-8572-97B480422475}">
  <dimension ref="B2:H15"/>
  <sheetViews>
    <sheetView topLeftCell="A4" workbookViewId="0">
      <selection activeCell="B11" sqref="B11"/>
    </sheetView>
  </sheetViews>
  <sheetFormatPr baseColWidth="10" defaultRowHeight="16" x14ac:dyDescent="0.2"/>
  <sheetData>
    <row r="2" spans="2:8" x14ac:dyDescent="0.2">
      <c r="B2" s="2" t="s">
        <v>15</v>
      </c>
      <c r="E2">
        <v>750</v>
      </c>
      <c r="F2" t="s">
        <v>16</v>
      </c>
      <c r="G2">
        <v>12</v>
      </c>
      <c r="H2">
        <f>+E2*G2</f>
        <v>9000</v>
      </c>
    </row>
    <row r="3" spans="2:8" x14ac:dyDescent="0.2">
      <c r="B3" s="2" t="s">
        <v>11</v>
      </c>
    </row>
    <row r="4" spans="2:8" x14ac:dyDescent="0.2">
      <c r="B4" s="2" t="s">
        <v>12</v>
      </c>
    </row>
    <row r="5" spans="2:8" x14ac:dyDescent="0.2">
      <c r="B5" s="2" t="s">
        <v>18</v>
      </c>
      <c r="E5">
        <v>250</v>
      </c>
      <c r="F5" t="s">
        <v>16</v>
      </c>
      <c r="G5">
        <v>12</v>
      </c>
      <c r="H5">
        <f>+E5*G5</f>
        <v>3000</v>
      </c>
    </row>
    <row r="6" spans="2:8" x14ac:dyDescent="0.2">
      <c r="B6" s="2" t="s">
        <v>13</v>
      </c>
    </row>
    <row r="7" spans="2:8" x14ac:dyDescent="0.2">
      <c r="B7" s="2" t="s">
        <v>21</v>
      </c>
      <c r="D7" t="s">
        <v>29</v>
      </c>
    </row>
    <row r="8" spans="2:8" x14ac:dyDescent="0.2">
      <c r="B8" s="2" t="s">
        <v>24</v>
      </c>
      <c r="D8" s="6">
        <v>0.55000000000000004</v>
      </c>
    </row>
    <row r="10" spans="2:8" x14ac:dyDescent="0.2">
      <c r="B10" t="s">
        <v>36</v>
      </c>
      <c r="C10" s="9" t="s">
        <v>30</v>
      </c>
    </row>
    <row r="11" spans="2:8" x14ac:dyDescent="0.2">
      <c r="C11" s="9" t="s">
        <v>31</v>
      </c>
    </row>
    <row r="12" spans="2:8" x14ac:dyDescent="0.2">
      <c r="C12" s="9" t="s">
        <v>32</v>
      </c>
    </row>
    <row r="13" spans="2:8" x14ac:dyDescent="0.2">
      <c r="C13" s="9" t="s">
        <v>33</v>
      </c>
    </row>
    <row r="14" spans="2:8" x14ac:dyDescent="0.2">
      <c r="C14" s="9" t="s">
        <v>34</v>
      </c>
    </row>
    <row r="15" spans="2:8" x14ac:dyDescent="0.2">
      <c r="C15" s="9" t="s">
        <v>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4CA8B-F6C2-724D-9F03-75941323D5B5}">
  <dimension ref="B1:N41"/>
  <sheetViews>
    <sheetView workbookViewId="0">
      <selection activeCell="B36" sqref="B36"/>
    </sheetView>
  </sheetViews>
  <sheetFormatPr baseColWidth="10" defaultRowHeight="16" x14ac:dyDescent="0.2"/>
  <cols>
    <col min="2" max="2" width="30.33203125" customWidth="1"/>
    <col min="3" max="3" width="14" bestFit="1" customWidth="1"/>
    <col min="4" max="6" width="16" bestFit="1" customWidth="1"/>
    <col min="7" max="7" width="12.6640625" bestFit="1" customWidth="1"/>
    <col min="8" max="10" width="11.5" bestFit="1" customWidth="1"/>
    <col min="11" max="13" width="12.5" bestFit="1" customWidth="1"/>
  </cols>
  <sheetData>
    <row r="1" spans="2:14" x14ac:dyDescent="0.2">
      <c r="B1" t="s">
        <v>0</v>
      </c>
      <c r="C1" t="s">
        <v>10</v>
      </c>
    </row>
    <row r="2" spans="2:14" x14ac:dyDescent="0.2">
      <c r="B2" t="s">
        <v>14</v>
      </c>
      <c r="D2">
        <v>4</v>
      </c>
      <c r="E2">
        <v>8</v>
      </c>
      <c r="F2">
        <v>12</v>
      </c>
      <c r="L2" s="3"/>
    </row>
    <row r="3" spans="2:14" x14ac:dyDescent="0.2">
      <c r="C3">
        <v>2025</v>
      </c>
      <c r="D3">
        <v>2026</v>
      </c>
      <c r="E3">
        <v>2027</v>
      </c>
      <c r="F3">
        <v>2028</v>
      </c>
      <c r="G3" s="3" t="s">
        <v>1</v>
      </c>
      <c r="J3" t="s">
        <v>23</v>
      </c>
      <c r="L3" s="3">
        <f>+Assumptions!E5/0.55</f>
        <v>454.5454545454545</v>
      </c>
      <c r="M3" t="s">
        <v>25</v>
      </c>
      <c r="N3" t="s">
        <v>26</v>
      </c>
    </row>
    <row r="4" spans="2:14" x14ac:dyDescent="0.2">
      <c r="B4" t="s">
        <v>2</v>
      </c>
      <c r="D4" s="3">
        <f>+D2*Assumptions!H2</f>
        <v>36000</v>
      </c>
      <c r="E4" s="3">
        <f>+(E2*Assumptions!H2)*1.1</f>
        <v>79200</v>
      </c>
      <c r="F4" s="3">
        <f>+(F2*Assumptions!H2)*1.1</f>
        <v>118800.00000000001</v>
      </c>
      <c r="G4" s="3">
        <f>+F4*1.02</f>
        <v>121176.00000000001</v>
      </c>
      <c r="J4" t="s">
        <v>27</v>
      </c>
    </row>
    <row r="5" spans="2:14" x14ac:dyDescent="0.2">
      <c r="B5" t="s">
        <v>17</v>
      </c>
      <c r="D5" s="3"/>
      <c r="E5" s="3"/>
      <c r="F5" s="3"/>
    </row>
    <row r="6" spans="2:14" x14ac:dyDescent="0.2">
      <c r="B6" t="s">
        <v>19</v>
      </c>
      <c r="D6" s="3">
        <f>+D4*0.45</f>
        <v>16200</v>
      </c>
      <c r="E6" s="3">
        <f t="shared" ref="E6:F6" si="0">+E4*0.45</f>
        <v>35640</v>
      </c>
      <c r="F6" s="3">
        <f t="shared" si="0"/>
        <v>53460.000000000007</v>
      </c>
      <c r="J6" t="s">
        <v>28</v>
      </c>
      <c r="L6" s="7">
        <f>+Assumptions!E2/BCS!L3</f>
        <v>1.6500000000000001</v>
      </c>
    </row>
    <row r="7" spans="2:14" x14ac:dyDescent="0.2">
      <c r="B7" t="s">
        <v>3</v>
      </c>
      <c r="D7" s="3">
        <f>+Assumptions!H5*BCS!D2</f>
        <v>12000</v>
      </c>
      <c r="E7" s="3">
        <f>+E2*Assumptions!H5</f>
        <v>24000</v>
      </c>
      <c r="F7" s="3">
        <f>+F2*Assumptions!H5</f>
        <v>36000</v>
      </c>
    </row>
    <row r="8" spans="2:14" x14ac:dyDescent="0.2">
      <c r="B8" t="s">
        <v>4</v>
      </c>
      <c r="D8" s="3">
        <v>1500</v>
      </c>
      <c r="E8" s="3">
        <v>1500</v>
      </c>
      <c r="F8" s="3">
        <v>1500</v>
      </c>
    </row>
    <row r="9" spans="2:14" x14ac:dyDescent="0.2">
      <c r="B9" t="s">
        <v>20</v>
      </c>
      <c r="D9" s="5">
        <f>+D6-D7-D8</f>
        <v>2700</v>
      </c>
      <c r="E9" s="5">
        <f t="shared" ref="E9:F9" si="1">+E6-E7-E8</f>
        <v>10140</v>
      </c>
      <c r="F9" s="5">
        <f t="shared" si="1"/>
        <v>15960.000000000007</v>
      </c>
    </row>
    <row r="10" spans="2:14" x14ac:dyDescent="0.2">
      <c r="B10" t="s">
        <v>22</v>
      </c>
      <c r="D10" s="3">
        <f>+(D2*$C$30)/30</f>
        <v>-1866.6666666666667</v>
      </c>
      <c r="E10" s="3">
        <f>+(E2*$C$30)/30+(D10)</f>
        <v>-5600</v>
      </c>
      <c r="F10" s="3">
        <f>+((F2*$C$30)/30)+((E2*C30)/30)</f>
        <v>-9333.3333333333339</v>
      </c>
    </row>
    <row r="11" spans="2:14" x14ac:dyDescent="0.2">
      <c r="B11" t="s">
        <v>5</v>
      </c>
      <c r="D11" s="5">
        <f>+D9-D10</f>
        <v>4566.666666666667</v>
      </c>
      <c r="E11" s="5">
        <f t="shared" ref="E11:F11" si="2">+E9-E10</f>
        <v>15740</v>
      </c>
      <c r="F11" s="5">
        <f t="shared" si="2"/>
        <v>25293.333333333343</v>
      </c>
    </row>
    <row r="12" spans="2:14" x14ac:dyDescent="0.2">
      <c r="D12" s="7">
        <f>+D11/D4</f>
        <v>0.12685185185185185</v>
      </c>
      <c r="E12" s="7">
        <f t="shared" ref="E12:F12" si="3">+E11/E4</f>
        <v>0.19873737373737374</v>
      </c>
      <c r="F12" s="7">
        <f t="shared" si="3"/>
        <v>0.21290684624017964</v>
      </c>
    </row>
    <row r="15" spans="2:14" ht="24" x14ac:dyDescent="0.3">
      <c r="L15" s="8"/>
    </row>
    <row r="16" spans="2:14" x14ac:dyDescent="0.2">
      <c r="J16" t="s">
        <v>42</v>
      </c>
    </row>
    <row r="17" spans="2:13" x14ac:dyDescent="0.2">
      <c r="B17" t="s">
        <v>6</v>
      </c>
    </row>
    <row r="18" spans="2:13" x14ac:dyDescent="0.2">
      <c r="B18" t="s">
        <v>7</v>
      </c>
    </row>
    <row r="19" spans="2:13" x14ac:dyDescent="0.2">
      <c r="B19" t="s">
        <v>41</v>
      </c>
      <c r="D19" s="3">
        <f>+D4*0.02</f>
        <v>720</v>
      </c>
      <c r="E19" s="3">
        <f t="shared" ref="E19:F19" si="4">+E4*0.02</f>
        <v>1584</v>
      </c>
      <c r="F19" s="3">
        <f t="shared" si="4"/>
        <v>2376.0000000000005</v>
      </c>
      <c r="L19" s="1"/>
    </row>
    <row r="20" spans="2:13" x14ac:dyDescent="0.2">
      <c r="B20" t="s">
        <v>38</v>
      </c>
      <c r="D20" s="3">
        <f>+D4*(15/360)</f>
        <v>1500</v>
      </c>
      <c r="E20" s="3">
        <f t="shared" ref="E20:F20" si="5">+E4*(15/360)</f>
        <v>3300</v>
      </c>
      <c r="F20" s="3">
        <f t="shared" si="5"/>
        <v>4950</v>
      </c>
    </row>
    <row r="21" spans="2:13" x14ac:dyDescent="0.2">
      <c r="B21" t="s">
        <v>39</v>
      </c>
      <c r="D21" s="3">
        <f>+(D4*0.55)*(60/360)</f>
        <v>3300</v>
      </c>
      <c r="E21" s="3">
        <f t="shared" ref="E21:F21" si="6">+(E4*0.55)*(60/360)</f>
        <v>7260</v>
      </c>
      <c r="F21" s="3">
        <f t="shared" si="6"/>
        <v>10890.000000000002</v>
      </c>
      <c r="L21" s="1"/>
    </row>
    <row r="22" spans="2:13" x14ac:dyDescent="0.2">
      <c r="B22" t="s">
        <v>40</v>
      </c>
      <c r="D22" s="3">
        <f>+(D4*0.55)*(45/360)</f>
        <v>2475</v>
      </c>
      <c r="E22" s="3">
        <f>+(E4*0.55)*(45/360)</f>
        <v>5445</v>
      </c>
      <c r="F22" s="3">
        <f>+(F4*0.55)*(45/360)</f>
        <v>8167.5000000000018</v>
      </c>
    </row>
    <row r="23" spans="2:13" x14ac:dyDescent="0.2">
      <c r="B23" t="s">
        <v>44</v>
      </c>
      <c r="D23" s="5">
        <f>+D19+D20+D21-D22</f>
        <v>3045</v>
      </c>
      <c r="E23" s="5">
        <f t="shared" ref="E23:F23" si="7">+E19+E20+E21-E22</f>
        <v>6699</v>
      </c>
      <c r="F23" s="5">
        <f t="shared" si="7"/>
        <v>10048.499999999998</v>
      </c>
      <c r="L23" s="1"/>
    </row>
    <row r="24" spans="2:13" x14ac:dyDescent="0.2">
      <c r="B24" s="9" t="s">
        <v>37</v>
      </c>
      <c r="D24" s="5">
        <f>+D23-C23</f>
        <v>3045</v>
      </c>
      <c r="E24" s="5">
        <f>+E23-D23</f>
        <v>3654</v>
      </c>
      <c r="F24" s="5">
        <f>+F23-E23</f>
        <v>3349.4999999999982</v>
      </c>
    </row>
    <row r="25" spans="2:13" x14ac:dyDescent="0.2">
      <c r="L25" s="1"/>
    </row>
    <row r="26" spans="2:13" x14ac:dyDescent="0.2">
      <c r="B26" t="s">
        <v>43</v>
      </c>
    </row>
    <row r="27" spans="2:13" x14ac:dyDescent="0.2">
      <c r="B27" t="s">
        <v>9</v>
      </c>
      <c r="D27" s="3">
        <f>+D11*(1-0.3)</f>
        <v>3196.6666666666665</v>
      </c>
      <c r="E27" s="3">
        <f t="shared" ref="E27:F27" si="8">+E11*(1-0.3)</f>
        <v>11018</v>
      </c>
      <c r="F27" s="3">
        <f t="shared" si="8"/>
        <v>17705.333333333339</v>
      </c>
    </row>
    <row r="28" spans="2:13" x14ac:dyDescent="0.2">
      <c r="B28" t="s">
        <v>22</v>
      </c>
      <c r="D28" s="5">
        <f>-D10</f>
        <v>1866.6666666666667</v>
      </c>
      <c r="E28" s="5">
        <f t="shared" ref="E28:F28" si="9">-E10</f>
        <v>5600</v>
      </c>
      <c r="F28" s="5">
        <f t="shared" si="9"/>
        <v>9333.3333333333339</v>
      </c>
    </row>
    <row r="29" spans="2:13" x14ac:dyDescent="0.2">
      <c r="B29" s="9" t="s">
        <v>37</v>
      </c>
      <c r="D29" s="5">
        <f>-D24</f>
        <v>-3045</v>
      </c>
      <c r="E29" s="5">
        <f>-E24</f>
        <v>-3654</v>
      </c>
      <c r="F29" s="5">
        <f>-F24</f>
        <v>-3349.4999999999982</v>
      </c>
    </row>
    <row r="30" spans="2:13" x14ac:dyDescent="0.2">
      <c r="B30" t="s">
        <v>8</v>
      </c>
      <c r="C30" s="5">
        <f>-3500*4</f>
        <v>-14000</v>
      </c>
      <c r="D30" s="5">
        <f>+C30</f>
        <v>-14000</v>
      </c>
      <c r="E30" s="5">
        <f>+D30</f>
        <v>-14000</v>
      </c>
    </row>
    <row r="32" spans="2:13" x14ac:dyDescent="0.2">
      <c r="B32" t="s">
        <v>45</v>
      </c>
      <c r="C32" s="5">
        <f>C30</f>
        <v>-14000</v>
      </c>
      <c r="D32" s="5">
        <f>+SUM(D27:D30)</f>
        <v>-11981.666666666668</v>
      </c>
      <c r="E32" s="5">
        <f t="shared" ref="E32:F32" si="10">+SUM(E27:E30)</f>
        <v>-1036</v>
      </c>
      <c r="F32" s="5">
        <f t="shared" si="10"/>
        <v>23689.166666666672</v>
      </c>
      <c r="G32" s="3">
        <v>23689.166666666672</v>
      </c>
      <c r="H32" s="3">
        <f>+G32</f>
        <v>23689.166666666672</v>
      </c>
      <c r="I32" s="3">
        <f t="shared" ref="I32:M32" si="11">+H32</f>
        <v>23689.166666666672</v>
      </c>
      <c r="J32" s="3">
        <f t="shared" si="11"/>
        <v>23689.166666666672</v>
      </c>
      <c r="K32" s="3">
        <f t="shared" si="11"/>
        <v>23689.166666666672</v>
      </c>
      <c r="L32" s="3">
        <f t="shared" si="11"/>
        <v>23689.166666666672</v>
      </c>
      <c r="M32" s="3">
        <f t="shared" si="11"/>
        <v>23689.166666666672</v>
      </c>
    </row>
    <row r="34" spans="2:13" x14ac:dyDescent="0.2">
      <c r="B34" t="s">
        <v>46</v>
      </c>
      <c r="C34" s="4">
        <f>+NPV(0.14,C32:F32)</f>
        <v>-8173.5873114575625</v>
      </c>
    </row>
    <row r="35" spans="2:13" x14ac:dyDescent="0.2">
      <c r="B35" t="s">
        <v>50</v>
      </c>
      <c r="C35" s="3">
        <f>+F32/2%</f>
        <v>1184458.3333333335</v>
      </c>
    </row>
    <row r="36" spans="2:13" x14ac:dyDescent="0.2">
      <c r="B36" t="s">
        <v>47</v>
      </c>
      <c r="C36" s="6">
        <f>+IRR(C32:F32,0)</f>
        <v>-5.1813563570783483E-2</v>
      </c>
    </row>
    <row r="37" spans="2:13" x14ac:dyDescent="0.2">
      <c r="B37" t="s">
        <v>48</v>
      </c>
      <c r="C37" s="6">
        <f>+IRR(C32:M32)</f>
        <v>0.46435676712244134</v>
      </c>
    </row>
    <row r="38" spans="2:13" x14ac:dyDescent="0.2">
      <c r="B38" t="s">
        <v>49</v>
      </c>
      <c r="C38">
        <v>2029</v>
      </c>
    </row>
    <row r="40" spans="2:13" x14ac:dyDescent="0.2">
      <c r="C40">
        <v>2025</v>
      </c>
      <c r="D40">
        <v>2026</v>
      </c>
      <c r="E40">
        <v>2027</v>
      </c>
      <c r="F40">
        <v>2028</v>
      </c>
      <c r="G40">
        <v>2029</v>
      </c>
      <c r="H40">
        <v>2030</v>
      </c>
      <c r="I40">
        <v>2031</v>
      </c>
      <c r="J40">
        <v>2032</v>
      </c>
      <c r="K40">
        <v>2033</v>
      </c>
      <c r="L40">
        <v>2034</v>
      </c>
      <c r="M40">
        <v>2035</v>
      </c>
    </row>
    <row r="41" spans="2:13" x14ac:dyDescent="0.2">
      <c r="C41" s="5">
        <f>+C32</f>
        <v>-14000</v>
      </c>
      <c r="D41" s="5">
        <f>+C41+D32</f>
        <v>-25981.666666666668</v>
      </c>
      <c r="E41" s="5">
        <f>+E32+D41</f>
        <v>-27017.666666666668</v>
      </c>
      <c r="F41" s="5">
        <f t="shared" ref="F41:M41" si="12">+F32+E41</f>
        <v>-3328.4999999999964</v>
      </c>
      <c r="G41" s="5">
        <f t="shared" si="12"/>
        <v>20360.666666666675</v>
      </c>
      <c r="H41" s="5">
        <f t="shared" si="12"/>
        <v>44049.833333333343</v>
      </c>
      <c r="I41" s="5">
        <f t="shared" si="12"/>
        <v>67739.000000000015</v>
      </c>
      <c r="J41" s="5">
        <f t="shared" si="12"/>
        <v>91428.166666666686</v>
      </c>
      <c r="K41" s="5">
        <f t="shared" si="12"/>
        <v>115117.33333333336</v>
      </c>
      <c r="L41" s="5">
        <f t="shared" si="12"/>
        <v>138806.50000000003</v>
      </c>
      <c r="M41" s="5">
        <f t="shared" si="12"/>
        <v>162495.66666666669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93F95-91CC-F549-9977-3B5C28C89C23}">
  <dimension ref="B1:N41"/>
  <sheetViews>
    <sheetView tabSelected="1" topLeftCell="A7" workbookViewId="0">
      <selection activeCell="B35" sqref="B35"/>
    </sheetView>
  </sheetViews>
  <sheetFormatPr baseColWidth="10" defaultRowHeight="16" x14ac:dyDescent="0.2"/>
  <cols>
    <col min="2" max="2" width="30.33203125" customWidth="1"/>
    <col min="3" max="3" width="14" bestFit="1" customWidth="1"/>
    <col min="4" max="6" width="16" bestFit="1" customWidth="1"/>
    <col min="7" max="7" width="12.6640625" bestFit="1" customWidth="1"/>
    <col min="8" max="10" width="11.5" bestFit="1" customWidth="1"/>
    <col min="11" max="13" width="12.5" bestFit="1" customWidth="1"/>
  </cols>
  <sheetData>
    <row r="1" spans="2:14" x14ac:dyDescent="0.2">
      <c r="B1" t="s">
        <v>0</v>
      </c>
      <c r="C1" t="s">
        <v>10</v>
      </c>
    </row>
    <row r="2" spans="2:14" x14ac:dyDescent="0.2">
      <c r="B2" t="s">
        <v>14</v>
      </c>
      <c r="D2">
        <v>4</v>
      </c>
      <c r="E2">
        <v>8</v>
      </c>
      <c r="F2">
        <v>12</v>
      </c>
      <c r="L2" s="3"/>
    </row>
    <row r="3" spans="2:14" x14ac:dyDescent="0.2">
      <c r="C3">
        <v>2025</v>
      </c>
      <c r="D3">
        <v>2026</v>
      </c>
      <c r="E3">
        <v>2027</v>
      </c>
      <c r="F3">
        <v>2028</v>
      </c>
      <c r="G3" s="3" t="s">
        <v>1</v>
      </c>
      <c r="J3" t="s">
        <v>23</v>
      </c>
      <c r="L3" s="3">
        <f>+Assumptions!E5/0.55</f>
        <v>454.5454545454545</v>
      </c>
      <c r="M3" t="s">
        <v>25</v>
      </c>
      <c r="N3" t="s">
        <v>26</v>
      </c>
    </row>
    <row r="4" spans="2:14" x14ac:dyDescent="0.2">
      <c r="B4" t="s">
        <v>2</v>
      </c>
      <c r="D4" s="3">
        <f>+D2*Assumptions!H2</f>
        <v>36000</v>
      </c>
      <c r="E4" s="3">
        <f>+(E2*Assumptions!H2)*1.05</f>
        <v>75600</v>
      </c>
      <c r="F4" s="3">
        <f>+(F2*Assumptions!H2)*1.05</f>
        <v>113400</v>
      </c>
      <c r="G4" s="3">
        <f>+F4*1.02</f>
        <v>115668</v>
      </c>
      <c r="J4" t="s">
        <v>27</v>
      </c>
    </row>
    <row r="5" spans="2:14" x14ac:dyDescent="0.2">
      <c r="B5" t="s">
        <v>51</v>
      </c>
      <c r="D5" s="3"/>
      <c r="E5" s="3"/>
      <c r="F5" s="3"/>
    </row>
    <row r="6" spans="2:14" x14ac:dyDescent="0.2">
      <c r="B6" t="s">
        <v>52</v>
      </c>
      <c r="D6" s="3">
        <f>+D4*0.3</f>
        <v>10800</v>
      </c>
      <c r="E6" s="3">
        <f>+E4*0.3</f>
        <v>22680</v>
      </c>
      <c r="F6" s="3">
        <f>+F4*0.3</f>
        <v>34020</v>
      </c>
      <c r="J6" t="s">
        <v>28</v>
      </c>
      <c r="L6" s="7">
        <f>+Assumptions!E2/WCS!L3</f>
        <v>1.6500000000000001</v>
      </c>
    </row>
    <row r="7" spans="2:14" x14ac:dyDescent="0.2">
      <c r="B7" t="s">
        <v>3</v>
      </c>
      <c r="D7" s="3">
        <f>+Assumptions!H5*WCS!D2</f>
        <v>12000</v>
      </c>
      <c r="E7" s="3">
        <f>+E2*Assumptions!H5</f>
        <v>24000</v>
      </c>
      <c r="F7" s="3">
        <f>+F2*Assumptions!H5</f>
        <v>36000</v>
      </c>
    </row>
    <row r="8" spans="2:14" x14ac:dyDescent="0.2">
      <c r="B8" t="s">
        <v>4</v>
      </c>
      <c r="D8" s="3">
        <v>1500</v>
      </c>
      <c r="E8" s="3">
        <v>1500</v>
      </c>
      <c r="F8" s="3">
        <v>1500</v>
      </c>
    </row>
    <row r="9" spans="2:14" x14ac:dyDescent="0.2">
      <c r="B9" t="s">
        <v>20</v>
      </c>
      <c r="D9" s="5">
        <f>+D6-D7-D8</f>
        <v>-2700</v>
      </c>
      <c r="E9" s="5">
        <f t="shared" ref="E9:F9" si="0">+E6-E7-E8</f>
        <v>-2820</v>
      </c>
      <c r="F9" s="5">
        <f t="shared" si="0"/>
        <v>-3480</v>
      </c>
    </row>
    <row r="10" spans="2:14" x14ac:dyDescent="0.2">
      <c r="B10" t="s">
        <v>22</v>
      </c>
      <c r="D10" s="3">
        <f>+(D2*$C$30)/30</f>
        <v>-1866.6666666666667</v>
      </c>
      <c r="E10" s="3">
        <f>+(E2*$C$30)/30+(D10)</f>
        <v>-5600</v>
      </c>
      <c r="F10" s="3">
        <f>+((F2*$C$30)/30)+((E2*C30)/30)</f>
        <v>-9333.3333333333339</v>
      </c>
    </row>
    <row r="11" spans="2:14" x14ac:dyDescent="0.2">
      <c r="B11" t="s">
        <v>5</v>
      </c>
      <c r="D11" s="5">
        <f>+D9-D10</f>
        <v>-833.33333333333326</v>
      </c>
      <c r="E11" s="5">
        <f t="shared" ref="E11:F11" si="1">+E9-E10</f>
        <v>2780</v>
      </c>
      <c r="F11" s="5">
        <f t="shared" si="1"/>
        <v>5853.3333333333339</v>
      </c>
    </row>
    <row r="12" spans="2:14" x14ac:dyDescent="0.2">
      <c r="D12" s="7">
        <f>+D11/D4</f>
        <v>-2.3148148148148147E-2</v>
      </c>
      <c r="E12" s="7">
        <f t="shared" ref="E12:F12" si="2">+E11/E4</f>
        <v>3.6772486772486769E-2</v>
      </c>
      <c r="F12" s="7">
        <f t="shared" si="2"/>
        <v>5.1616696061140513E-2</v>
      </c>
    </row>
    <row r="15" spans="2:14" ht="24" x14ac:dyDescent="0.3">
      <c r="L15" s="8"/>
    </row>
    <row r="16" spans="2:14" x14ac:dyDescent="0.2">
      <c r="J16" t="s">
        <v>42</v>
      </c>
    </row>
    <row r="17" spans="2:13" x14ac:dyDescent="0.2">
      <c r="B17" t="s">
        <v>6</v>
      </c>
    </row>
    <row r="18" spans="2:13" x14ac:dyDescent="0.2">
      <c r="B18" t="s">
        <v>7</v>
      </c>
    </row>
    <row r="19" spans="2:13" x14ac:dyDescent="0.2">
      <c r="B19" t="s">
        <v>41</v>
      </c>
      <c r="D19" s="3">
        <f>+D4*0.02</f>
        <v>720</v>
      </c>
      <c r="E19" s="3">
        <f t="shared" ref="E19:F19" si="3">+E4*0.02</f>
        <v>1512</v>
      </c>
      <c r="F19" s="3">
        <f t="shared" si="3"/>
        <v>2268</v>
      </c>
      <c r="L19" s="1"/>
    </row>
    <row r="20" spans="2:13" x14ac:dyDescent="0.2">
      <c r="B20" t="s">
        <v>53</v>
      </c>
      <c r="D20" s="3">
        <f>+D4*(30/360)</f>
        <v>3000</v>
      </c>
      <c r="E20" s="3">
        <f>+E4*(30/360)</f>
        <v>6300</v>
      </c>
      <c r="F20" s="3">
        <f>+F4*(30/360)</f>
        <v>9450</v>
      </c>
    </row>
    <row r="21" spans="2:13" x14ac:dyDescent="0.2">
      <c r="B21" t="s">
        <v>54</v>
      </c>
      <c r="D21" s="3">
        <f>+(D4*0.55)*(90/360)</f>
        <v>4950</v>
      </c>
      <c r="E21" s="3">
        <f t="shared" ref="E21:F21" si="4">+(E4*0.55)*(60/360)</f>
        <v>6930</v>
      </c>
      <c r="F21" s="3">
        <f t="shared" si="4"/>
        <v>10395</v>
      </c>
      <c r="L21" s="1"/>
    </row>
    <row r="22" spans="2:13" x14ac:dyDescent="0.2">
      <c r="B22" t="s">
        <v>55</v>
      </c>
      <c r="D22" s="3">
        <f>+(D4*0.55)*(15/360)</f>
        <v>825</v>
      </c>
      <c r="E22" s="3">
        <f>+(E4*0.55)*(15/360)</f>
        <v>1732.5</v>
      </c>
      <c r="F22" s="3">
        <f>+(F4*0.55)*(15/360)</f>
        <v>2598.75</v>
      </c>
    </row>
    <row r="23" spans="2:13" x14ac:dyDescent="0.2">
      <c r="B23" t="s">
        <v>44</v>
      </c>
      <c r="D23" s="5">
        <f>+D19+D20+D21-D22</f>
        <v>7845</v>
      </c>
      <c r="E23" s="5">
        <f t="shared" ref="E23:F23" si="5">+E19+E20+E21-E22</f>
        <v>13009.5</v>
      </c>
      <c r="F23" s="5">
        <f t="shared" si="5"/>
        <v>19514.25</v>
      </c>
      <c r="L23" s="1"/>
    </row>
    <row r="24" spans="2:13" x14ac:dyDescent="0.2">
      <c r="B24" s="9" t="s">
        <v>37</v>
      </c>
      <c r="D24" s="5">
        <f>+D23-C23</f>
        <v>7845</v>
      </c>
      <c r="E24" s="5">
        <f>+E23-D23</f>
        <v>5164.5</v>
      </c>
      <c r="F24" s="5">
        <f>+F23-E23</f>
        <v>6504.75</v>
      </c>
    </row>
    <row r="25" spans="2:13" x14ac:dyDescent="0.2">
      <c r="L25" s="1"/>
    </row>
    <row r="26" spans="2:13" x14ac:dyDescent="0.2">
      <c r="B26" t="s">
        <v>43</v>
      </c>
    </row>
    <row r="27" spans="2:13" x14ac:dyDescent="0.2">
      <c r="B27" t="s">
        <v>9</v>
      </c>
      <c r="D27" s="3">
        <f>+D11*(1-0.3)</f>
        <v>-583.33333333333326</v>
      </c>
      <c r="E27" s="3">
        <f t="shared" ref="E27:F27" si="6">+E11*(1-0.3)</f>
        <v>1945.9999999999998</v>
      </c>
      <c r="F27" s="3">
        <f t="shared" si="6"/>
        <v>4097.3333333333339</v>
      </c>
    </row>
    <row r="28" spans="2:13" x14ac:dyDescent="0.2">
      <c r="B28" t="s">
        <v>22</v>
      </c>
      <c r="D28" s="5">
        <f>-D10</f>
        <v>1866.6666666666667</v>
      </c>
      <c r="E28" s="5">
        <f t="shared" ref="E28:F28" si="7">-E10</f>
        <v>5600</v>
      </c>
      <c r="F28" s="5">
        <f t="shared" si="7"/>
        <v>9333.3333333333339</v>
      </c>
    </row>
    <row r="29" spans="2:13" x14ac:dyDescent="0.2">
      <c r="B29" s="9" t="s">
        <v>37</v>
      </c>
      <c r="D29" s="5">
        <f>-D24</f>
        <v>-7845</v>
      </c>
      <c r="E29" s="5">
        <f>-E24</f>
        <v>-5164.5</v>
      </c>
      <c r="F29" s="5">
        <f>-F24</f>
        <v>-6504.75</v>
      </c>
    </row>
    <row r="30" spans="2:13" x14ac:dyDescent="0.2">
      <c r="B30" t="s">
        <v>8</v>
      </c>
      <c r="C30" s="5">
        <f>-3500*4</f>
        <v>-14000</v>
      </c>
      <c r="D30" s="5">
        <f>+C30</f>
        <v>-14000</v>
      </c>
      <c r="E30" s="5">
        <f>+D30</f>
        <v>-14000</v>
      </c>
    </row>
    <row r="32" spans="2:13" x14ac:dyDescent="0.2">
      <c r="B32" t="s">
        <v>45</v>
      </c>
      <c r="C32" s="5">
        <f>C30</f>
        <v>-14000</v>
      </c>
      <c r="D32" s="5">
        <f>+SUM(D27:D30)</f>
        <v>-20561.666666666664</v>
      </c>
      <c r="E32" s="5">
        <f t="shared" ref="E32:F32" si="8">+SUM(E27:E30)</f>
        <v>-11618.5</v>
      </c>
      <c r="F32" s="5">
        <f t="shared" si="8"/>
        <v>6925.9166666666679</v>
      </c>
      <c r="G32" s="3">
        <v>23689.166666666672</v>
      </c>
      <c r="H32" s="3">
        <f>+G32</f>
        <v>23689.166666666672</v>
      </c>
      <c r="I32" s="3">
        <f t="shared" ref="I32:M32" si="9">+H32</f>
        <v>23689.166666666672</v>
      </c>
      <c r="J32" s="3">
        <f t="shared" si="9"/>
        <v>23689.166666666672</v>
      </c>
      <c r="K32" s="3">
        <f t="shared" si="9"/>
        <v>23689.166666666672</v>
      </c>
      <c r="L32" s="3">
        <f t="shared" si="9"/>
        <v>23689.166666666672</v>
      </c>
      <c r="M32" s="3">
        <f t="shared" si="9"/>
        <v>23689.166666666672</v>
      </c>
    </row>
    <row r="34" spans="2:13" x14ac:dyDescent="0.2">
      <c r="B34" t="s">
        <v>56</v>
      </c>
      <c r="C34" s="4">
        <f>+NPV(0.14,C32:M32)</f>
        <v>28303.590486660942</v>
      </c>
    </row>
    <row r="35" spans="2:13" x14ac:dyDescent="0.2">
      <c r="B35" t="s">
        <v>50</v>
      </c>
      <c r="C35" s="3">
        <f>+F32/2%</f>
        <v>346295.83333333337</v>
      </c>
    </row>
    <row r="36" spans="2:13" x14ac:dyDescent="0.2">
      <c r="B36" t="s">
        <v>47</v>
      </c>
      <c r="C36" s="6">
        <f>+IRR(C32:F32,0)</f>
        <v>-0.65841230960678787</v>
      </c>
    </row>
    <row r="37" spans="2:13" x14ac:dyDescent="0.2">
      <c r="B37" t="s">
        <v>48</v>
      </c>
      <c r="C37" s="6">
        <f>+IRR(C32:M32)</f>
        <v>0.27528080003496846</v>
      </c>
    </row>
    <row r="38" spans="2:13" x14ac:dyDescent="0.2">
      <c r="B38" t="s">
        <v>49</v>
      </c>
      <c r="C38">
        <v>2029</v>
      </c>
    </row>
    <row r="40" spans="2:13" x14ac:dyDescent="0.2">
      <c r="C40">
        <v>2025</v>
      </c>
      <c r="D40">
        <v>2026</v>
      </c>
      <c r="E40">
        <v>2027</v>
      </c>
      <c r="F40">
        <v>2028</v>
      </c>
      <c r="G40">
        <v>2029</v>
      </c>
      <c r="H40">
        <v>2030</v>
      </c>
      <c r="I40">
        <v>2031</v>
      </c>
      <c r="J40">
        <v>2032</v>
      </c>
      <c r="K40">
        <v>2033</v>
      </c>
      <c r="L40">
        <v>2034</v>
      </c>
      <c r="M40">
        <v>2035</v>
      </c>
    </row>
    <row r="41" spans="2:13" x14ac:dyDescent="0.2">
      <c r="C41" s="5">
        <f>+C32</f>
        <v>-14000</v>
      </c>
      <c r="D41" s="5">
        <f>+C41+D32</f>
        <v>-34561.666666666664</v>
      </c>
      <c r="E41" s="5">
        <f>+E32+D41</f>
        <v>-46180.166666666664</v>
      </c>
      <c r="F41" s="5">
        <f t="shared" ref="F41:M41" si="10">+F32+E41</f>
        <v>-39254.25</v>
      </c>
      <c r="G41" s="5">
        <f t="shared" si="10"/>
        <v>-15565.083333333328</v>
      </c>
      <c r="H41" s="5">
        <f t="shared" si="10"/>
        <v>8124.083333333343</v>
      </c>
      <c r="I41" s="5">
        <f t="shared" si="10"/>
        <v>31813.250000000015</v>
      </c>
      <c r="J41" s="5">
        <f t="shared" si="10"/>
        <v>55502.416666666686</v>
      </c>
      <c r="K41" s="5">
        <f t="shared" si="10"/>
        <v>79191.583333333358</v>
      </c>
      <c r="L41" s="5">
        <f t="shared" si="10"/>
        <v>102880.75000000003</v>
      </c>
      <c r="M41" s="5">
        <f t="shared" si="10"/>
        <v>126569.9166666667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Assumptions</vt:lpstr>
      <vt:lpstr>BCS</vt:lpstr>
      <vt:lpstr>WCS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Alethia Arreola</dc:creator>
  <cp:lastModifiedBy>Alethia Arreola</cp:lastModifiedBy>
  <dcterms:created xsi:type="dcterms:W3CDTF">2025-09-10T02:06:04Z</dcterms:created>
  <dcterms:modified xsi:type="dcterms:W3CDTF">2025-09-10T17:18:27Z</dcterms:modified>
</cp:coreProperties>
</file>